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Users\brian\Desktop\"/>
    </mc:Choice>
  </mc:AlternateContent>
  <bookViews>
    <workbookView xWindow="0" yWindow="0" windowWidth="20490" windowHeight="7650" xr2:uid="{00000000-000D-0000-FFFF-FFFF00000000}"/>
  </bookViews>
  <sheets>
    <sheet name="Buy Down Calculator" sheetId="2"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9" i="2" l="1"/>
  <c r="S30" i="2"/>
  <c r="S31" i="2"/>
  <c r="S32" i="2"/>
  <c r="S33" i="2"/>
  <c r="S34" i="2"/>
  <c r="S35" i="2"/>
  <c r="S36" i="2"/>
  <c r="S37" i="2"/>
  <c r="S38" i="2"/>
  <c r="S28" i="2"/>
  <c r="P29" i="2"/>
  <c r="P30" i="2"/>
  <c r="P31" i="2"/>
  <c r="P32" i="2"/>
  <c r="P33" i="2"/>
  <c r="P34" i="2"/>
  <c r="P35" i="2"/>
  <c r="P36" i="2"/>
  <c r="P37" i="2"/>
  <c r="P38" i="2"/>
  <c r="P28" i="2"/>
  <c r="B41" i="2"/>
  <c r="K38" i="2" l="1"/>
  <c r="J38" i="2"/>
  <c r="G38" i="2"/>
  <c r="E38" i="2"/>
  <c r="H38" i="2" s="1"/>
  <c r="K37" i="2"/>
  <c r="J37" i="2"/>
  <c r="G37" i="2"/>
  <c r="E37" i="2"/>
  <c r="H37" i="2" s="1"/>
  <c r="I37" i="2" s="1"/>
  <c r="K36" i="2"/>
  <c r="J36" i="2"/>
  <c r="G36" i="2"/>
  <c r="E36" i="2"/>
  <c r="H36" i="2" s="1"/>
  <c r="K35" i="2"/>
  <c r="J35" i="2"/>
  <c r="G35" i="2"/>
  <c r="E35" i="2"/>
  <c r="H35" i="2" s="1"/>
  <c r="I35" i="2" s="1"/>
  <c r="K34" i="2"/>
  <c r="J34" i="2"/>
  <c r="G34" i="2"/>
  <c r="E34" i="2"/>
  <c r="H34" i="2" s="1"/>
  <c r="K33" i="2"/>
  <c r="J33" i="2"/>
  <c r="G33" i="2"/>
  <c r="E33" i="2"/>
  <c r="H33" i="2" s="1"/>
  <c r="I33" i="2" s="1"/>
  <c r="K32" i="2"/>
  <c r="J32" i="2"/>
  <c r="G32" i="2"/>
  <c r="E32" i="2"/>
  <c r="H32" i="2" s="1"/>
  <c r="K31" i="2"/>
  <c r="J31" i="2"/>
  <c r="G31" i="2"/>
  <c r="E31" i="2"/>
  <c r="H31" i="2" s="1"/>
  <c r="I31" i="2" s="1"/>
  <c r="K30" i="2"/>
  <c r="J30" i="2"/>
  <c r="G30" i="2"/>
  <c r="E30" i="2"/>
  <c r="H30" i="2" s="1"/>
  <c r="K29" i="2"/>
  <c r="J29" i="2"/>
  <c r="G29" i="2"/>
  <c r="E29" i="2"/>
  <c r="H29" i="2" s="1"/>
  <c r="I29" i="2" s="1"/>
  <c r="K28" i="2"/>
  <c r="J28" i="2"/>
  <c r="H28" i="2"/>
  <c r="G28" i="2"/>
  <c r="E28" i="2"/>
  <c r="C28" i="2"/>
  <c r="L28" i="2" s="1"/>
  <c r="L27" i="2"/>
  <c r="M27" i="2" s="1"/>
  <c r="N27" i="2" s="1"/>
  <c r="O27" i="2" s="1"/>
  <c r="K27" i="2"/>
  <c r="J27" i="2"/>
  <c r="H17" i="2"/>
  <c r="G17" i="2"/>
  <c r="E17" i="2"/>
  <c r="G16" i="2"/>
  <c r="E16" i="2"/>
  <c r="F17" i="2" s="1"/>
  <c r="H15" i="2"/>
  <c r="G15" i="2"/>
  <c r="E15" i="2"/>
  <c r="B15" i="2"/>
  <c r="G14" i="2"/>
  <c r="E14" i="2"/>
  <c r="F15" i="2" s="1"/>
  <c r="G13" i="2"/>
  <c r="E13" i="2"/>
  <c r="F13" i="2" s="1"/>
  <c r="G12" i="2"/>
  <c r="E12" i="2"/>
  <c r="F12" i="2" s="1"/>
  <c r="G11" i="2"/>
  <c r="E11" i="2"/>
  <c r="H11" i="2" s="1"/>
  <c r="H10" i="2"/>
  <c r="I10" i="2" s="1"/>
  <c r="G10" i="2"/>
  <c r="F10" i="2"/>
  <c r="E10" i="2"/>
  <c r="G9" i="2"/>
  <c r="E9" i="2"/>
  <c r="H9" i="2" s="1"/>
  <c r="I9" i="2" s="1"/>
  <c r="C9" i="2"/>
  <c r="J9" i="2" s="1"/>
  <c r="H8" i="2"/>
  <c r="I8" i="2" s="1"/>
  <c r="G8" i="2"/>
  <c r="F8" i="2"/>
  <c r="E8" i="2"/>
  <c r="C8" i="2"/>
  <c r="J8" i="2" s="1"/>
  <c r="J7" i="2"/>
  <c r="H7" i="2"/>
  <c r="G7" i="2"/>
  <c r="E7" i="2"/>
  <c r="C7" i="2"/>
  <c r="J6" i="2"/>
  <c r="I11" i="2" l="1"/>
  <c r="Q28" i="2"/>
  <c r="R28" i="2" s="1"/>
  <c r="C29" i="2"/>
  <c r="C30" i="2" s="1"/>
  <c r="C31" i="2" s="1"/>
  <c r="K8" i="2"/>
  <c r="L8" i="2" s="1"/>
  <c r="N8" i="2" s="1"/>
  <c r="K9" i="2"/>
  <c r="L9" i="2" s="1"/>
  <c r="N9" i="2" s="1"/>
  <c r="K7" i="2"/>
  <c r="L7" i="2" s="1"/>
  <c r="N7" i="2" s="1"/>
  <c r="H13" i="2"/>
  <c r="H12" i="2"/>
  <c r="I13" i="2" s="1"/>
  <c r="I30" i="2"/>
  <c r="I32" i="2"/>
  <c r="I34" i="2"/>
  <c r="I36" i="2"/>
  <c r="I38" i="2"/>
  <c r="F11" i="2"/>
  <c r="F16" i="2"/>
  <c r="M28" i="2"/>
  <c r="N28" i="2" s="1"/>
  <c r="O28" i="2" s="1"/>
  <c r="F9" i="2"/>
  <c r="H16" i="2"/>
  <c r="I16" i="2" s="1"/>
  <c r="F29" i="2"/>
  <c r="F30" i="2"/>
  <c r="F31" i="2"/>
  <c r="F32" i="2"/>
  <c r="F33" i="2"/>
  <c r="F34" i="2"/>
  <c r="F35" i="2"/>
  <c r="F36" i="2"/>
  <c r="F37" i="2"/>
  <c r="F38" i="2"/>
  <c r="F14" i="2"/>
  <c r="C10" i="2"/>
  <c r="H14" i="2"/>
  <c r="L29" i="2" l="1"/>
  <c r="Q29" i="2" s="1"/>
  <c r="R29" i="2" s="1"/>
  <c r="L30" i="2"/>
  <c r="Q30" i="2" s="1"/>
  <c r="R30" i="2" s="1"/>
  <c r="M7" i="2"/>
  <c r="M9" i="2"/>
  <c r="M8" i="2"/>
  <c r="I12" i="2"/>
  <c r="I14" i="2"/>
  <c r="L31" i="2"/>
  <c r="C32" i="2"/>
  <c r="C11" i="2"/>
  <c r="J10" i="2"/>
  <c r="K10" i="2" s="1"/>
  <c r="L10" i="2" s="1"/>
  <c r="I15" i="2"/>
  <c r="I17" i="2"/>
  <c r="M29" i="2" l="1"/>
  <c r="N29" i="2" s="1"/>
  <c r="O29" i="2" s="1"/>
  <c r="M30" i="2"/>
  <c r="N30" i="2" s="1"/>
  <c r="O30" i="2" s="1"/>
  <c r="N10" i="2"/>
  <c r="M10" i="2"/>
  <c r="J11" i="2"/>
  <c r="K11" i="2" s="1"/>
  <c r="L11" i="2" s="1"/>
  <c r="C12" i="2"/>
  <c r="L32" i="2"/>
  <c r="C33" i="2"/>
  <c r="Q31" i="2"/>
  <c r="R31" i="2" s="1"/>
  <c r="M31" i="2"/>
  <c r="N31" i="2" s="1"/>
  <c r="O31" i="2" s="1"/>
  <c r="L33" i="2" l="1"/>
  <c r="C34" i="2"/>
  <c r="Q32" i="2"/>
  <c r="R32" i="2" s="1"/>
  <c r="M32" i="2"/>
  <c r="N32" i="2" s="1"/>
  <c r="O32" i="2" s="1"/>
  <c r="C13" i="2"/>
  <c r="J12" i="2"/>
  <c r="K12" i="2" s="1"/>
  <c r="L12" i="2" s="1"/>
  <c r="N11" i="2"/>
  <c r="M11" i="2"/>
  <c r="C35" i="2" l="1"/>
  <c r="L34" i="2"/>
  <c r="N12" i="2"/>
  <c r="M12" i="2"/>
  <c r="Q33" i="2"/>
  <c r="R33" i="2" s="1"/>
  <c r="M33" i="2"/>
  <c r="N33" i="2" s="1"/>
  <c r="O33" i="2" s="1"/>
  <c r="J13" i="2"/>
  <c r="K13" i="2" s="1"/>
  <c r="L13" i="2" s="1"/>
  <c r="C14" i="2"/>
  <c r="N13" i="2" l="1"/>
  <c r="M13" i="2"/>
  <c r="Q34" i="2"/>
  <c r="R34" i="2" s="1"/>
  <c r="M34" i="2"/>
  <c r="N34" i="2" s="1"/>
  <c r="O34" i="2" s="1"/>
  <c r="L35" i="2"/>
  <c r="C36" i="2"/>
  <c r="J14" i="2"/>
  <c r="K14" i="2" s="1"/>
  <c r="L14" i="2" s="1"/>
  <c r="C15" i="2"/>
  <c r="N14" i="2" l="1"/>
  <c r="M14" i="2"/>
  <c r="C37" i="2"/>
  <c r="L36" i="2"/>
  <c r="C16" i="2"/>
  <c r="J15" i="2"/>
  <c r="K15" i="2" s="1"/>
  <c r="L15" i="2" s="1"/>
  <c r="Q35" i="2"/>
  <c r="R35" i="2" s="1"/>
  <c r="M35" i="2"/>
  <c r="N35" i="2" s="1"/>
  <c r="O35" i="2" s="1"/>
  <c r="N15" i="2" l="1"/>
  <c r="M15" i="2"/>
  <c r="Q36" i="2"/>
  <c r="R36" i="2" s="1"/>
  <c r="M36" i="2"/>
  <c r="N36" i="2" s="1"/>
  <c r="O36" i="2" s="1"/>
  <c r="C38" i="2"/>
  <c r="L38" i="2" s="1"/>
  <c r="L37" i="2"/>
  <c r="J16" i="2"/>
  <c r="K16" i="2" s="1"/>
  <c r="L16" i="2" s="1"/>
  <c r="C17" i="2"/>
  <c r="J17" i="2" s="1"/>
  <c r="K17" i="2" s="1"/>
  <c r="L17" i="2" s="1"/>
  <c r="N16" i="2" l="1"/>
  <c r="M16" i="2"/>
  <c r="N17" i="2"/>
  <c r="M17" i="2"/>
  <c r="Q37" i="2"/>
  <c r="R37" i="2" s="1"/>
  <c r="M37" i="2"/>
  <c r="N37" i="2" s="1"/>
  <c r="O37" i="2" s="1"/>
  <c r="Q38" i="2"/>
  <c r="R38" i="2" s="1"/>
  <c r="M38" i="2"/>
  <c r="N38" i="2" s="1"/>
  <c r="O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Brian Williams</author>
  </authors>
  <commentList>
    <comment ref="E5" authorId="0" shapeId="0" xr:uid="{00000000-0006-0000-0000-000001000000}">
      <text>
        <r>
          <rPr>
            <b/>
            <sz val="9"/>
            <color indexed="81"/>
            <rFont val="Tahoma"/>
            <family val="2"/>
          </rPr>
          <t>Brian:</t>
        </r>
        <r>
          <rPr>
            <sz val="9"/>
            <color indexed="81"/>
            <rFont val="Tahoma"/>
            <family val="2"/>
          </rPr>
          <t xml:space="preserve">
This is the cost difference between each point and allows you to see where the points start to cost a lot more or a lot less to help you determine how much (if any) to buy down your rate.</t>
        </r>
      </text>
    </comment>
    <comment ref="F5" authorId="0" shapeId="0" xr:uid="{00000000-0006-0000-0000-000002000000}">
      <text>
        <r>
          <rPr>
            <b/>
            <sz val="9"/>
            <color indexed="81"/>
            <rFont val="Tahoma"/>
            <family val="2"/>
          </rPr>
          <t>Brian:</t>
        </r>
        <r>
          <rPr>
            <sz val="9"/>
            <color indexed="81"/>
            <rFont val="Tahoma"/>
            <family val="2"/>
          </rPr>
          <t xml:space="preserve">
This is the actual dollar difference between the Cost Diff of each point. This is just another way to more easily see the difference between each point and the amount more or less it costs you.</t>
        </r>
      </text>
    </comment>
    <comment ref="G5" authorId="0" shapeId="0" xr:uid="{00000000-0006-0000-0000-000003000000}">
      <text>
        <r>
          <rPr>
            <b/>
            <sz val="9"/>
            <color indexed="81"/>
            <rFont val="Tahoma"/>
            <family val="2"/>
          </rPr>
          <t>Brian:</t>
        </r>
        <r>
          <rPr>
            <sz val="9"/>
            <color indexed="81"/>
            <rFont val="Tahoma"/>
            <family val="2"/>
          </rPr>
          <t xml:space="preserve">
This is the average cost of the points. If you see a point where the average goes down and then starts to go back up, this may be a good spot to choose as the buy down.</t>
        </r>
      </text>
    </comment>
    <comment ref="H5" authorId="0" shapeId="0" xr:uid="{00000000-0006-0000-0000-000004000000}">
      <text>
        <r>
          <rPr>
            <b/>
            <sz val="9"/>
            <color indexed="81"/>
            <rFont val="Tahoma"/>
            <family val="2"/>
          </rPr>
          <t>Brian:</t>
        </r>
        <r>
          <rPr>
            <sz val="9"/>
            <color indexed="81"/>
            <rFont val="Tahoma"/>
            <family val="2"/>
          </rPr>
          <t xml:space="preserve">
This is just the cost of the buy down in terms of "points" based on the loan amount.</t>
        </r>
      </text>
    </comment>
    <comment ref="I5" authorId="0" shapeId="0" xr:uid="{00000000-0006-0000-0000-000005000000}">
      <text>
        <r>
          <rPr>
            <b/>
            <sz val="9"/>
            <color indexed="81"/>
            <rFont val="Tahoma"/>
            <family val="2"/>
          </rPr>
          <t>Brian:</t>
        </r>
        <r>
          <rPr>
            <sz val="9"/>
            <color indexed="81"/>
            <rFont val="Tahoma"/>
            <family val="2"/>
          </rPr>
          <t xml:space="preserve">
This is the difference in the cost of the points, much the same way the "Cost Diff" column shows the difference for the actual dollar amounts - but instead it's in terms of points.</t>
        </r>
      </text>
    </comment>
    <comment ref="J5" authorId="1" shapeId="0" xr:uid="{00000000-0006-0000-0000-000006000000}">
      <text>
        <r>
          <rPr>
            <b/>
            <sz val="9"/>
            <color indexed="81"/>
            <rFont val="Tahoma"/>
            <family val="2"/>
          </rPr>
          <t>Brian Williams:</t>
        </r>
        <r>
          <rPr>
            <sz val="9"/>
            <color indexed="81"/>
            <rFont val="Tahoma"/>
            <family val="2"/>
          </rPr>
          <t xml:space="preserve">
This is what the monthly Principal and Interest payment will be at this interest rate.</t>
        </r>
      </text>
    </comment>
    <comment ref="K5" authorId="0" shapeId="0" xr:uid="{00000000-0006-0000-0000-000007000000}">
      <text>
        <r>
          <rPr>
            <b/>
            <sz val="9"/>
            <color indexed="81"/>
            <rFont val="Tahoma"/>
            <family val="2"/>
          </rPr>
          <t>Brian:</t>
        </r>
        <r>
          <rPr>
            <sz val="9"/>
            <color indexed="81"/>
            <rFont val="Tahoma"/>
            <family val="2"/>
          </rPr>
          <t xml:space="preserve">
The difference in the loan payment as the interest rate gets lower. This is cumulative compared against the PAR Payment (calculated from the PAR rate). When this number is positive, this is how much MORE you pay each month (loss in cash flow). When this number is negative, this is how much LESS you pay each month and thus is your gain in cash flow.</t>
        </r>
      </text>
    </comment>
    <comment ref="L5" authorId="0" shapeId="0" xr:uid="{00000000-0006-0000-0000-000008000000}">
      <text>
        <r>
          <rPr>
            <b/>
            <sz val="9"/>
            <color indexed="81"/>
            <rFont val="Tahoma"/>
            <family val="2"/>
          </rPr>
          <t>Brian:</t>
        </r>
        <r>
          <rPr>
            <sz val="9"/>
            <color indexed="81"/>
            <rFont val="Tahoma"/>
            <family val="2"/>
          </rPr>
          <t xml:space="preserve">
This is Payment Diff * 12</t>
        </r>
      </text>
    </comment>
    <comment ref="M5" authorId="0" shapeId="0" xr:uid="{00000000-0006-0000-0000-000009000000}">
      <text>
        <r>
          <rPr>
            <b/>
            <sz val="9"/>
            <color indexed="81"/>
            <rFont val="Tahoma"/>
            <family val="2"/>
          </rPr>
          <t>Brian:</t>
        </r>
        <r>
          <rPr>
            <sz val="9"/>
            <color indexed="81"/>
            <rFont val="Tahoma"/>
            <family val="2"/>
          </rPr>
          <t xml:space="preserve">
How long it takes for the extra cash flow you get to "pay back" the cost of buying down your rate. See the important notes section for more information on this column.</t>
        </r>
      </text>
    </comment>
    <comment ref="N5" authorId="0" shapeId="0" xr:uid="{00000000-0006-0000-0000-00000A000000}">
      <text>
        <r>
          <rPr>
            <b/>
            <sz val="9"/>
            <color indexed="81"/>
            <rFont val="Tahoma"/>
            <family val="2"/>
          </rPr>
          <t>Brian:</t>
        </r>
        <r>
          <rPr>
            <sz val="9"/>
            <color indexed="81"/>
            <rFont val="Tahoma"/>
            <family val="2"/>
          </rPr>
          <t xml:space="preserve">
This is the return on your invesment (of the extra money paid to buy down the rate). It is calculated by taking the extra cash flow you will get (from Annual Diffs column) and dividing by the amount you paid to buy down the rate. If no Return is shown, it is because you chose a rate that gives you money back at closing and thus the cost of the points was negative so there is no return on your investment.</t>
        </r>
      </text>
    </comment>
    <comment ref="E26" authorId="0" shapeId="0" xr:uid="{00000000-0006-0000-0000-00000B000000}">
      <text>
        <r>
          <rPr>
            <b/>
            <sz val="9"/>
            <color indexed="81"/>
            <rFont val="Tahoma"/>
            <family val="2"/>
          </rPr>
          <t>Brian:</t>
        </r>
        <r>
          <rPr>
            <sz val="9"/>
            <color indexed="81"/>
            <rFont val="Tahoma"/>
            <family val="2"/>
          </rPr>
          <t xml:space="preserve">
This is the cost difference between each point and allows you to see where the points start to cost a lot more or a lot less to help you determine how much (if any) to buy down your rate.</t>
        </r>
      </text>
    </comment>
    <comment ref="F26" authorId="0" shapeId="0" xr:uid="{00000000-0006-0000-0000-00000C000000}">
      <text>
        <r>
          <rPr>
            <b/>
            <sz val="9"/>
            <color indexed="81"/>
            <rFont val="Tahoma"/>
            <family val="2"/>
          </rPr>
          <t>Brian:</t>
        </r>
        <r>
          <rPr>
            <sz val="9"/>
            <color indexed="81"/>
            <rFont val="Tahoma"/>
            <family val="2"/>
          </rPr>
          <t xml:space="preserve">
This is the actual dollar difference between the Cost Diff of each point. This is just another way to more easily see the difference between each point and the amount more or less it costs you.</t>
        </r>
      </text>
    </comment>
    <comment ref="G26" authorId="0" shapeId="0" xr:uid="{00000000-0006-0000-0000-00000D000000}">
      <text>
        <r>
          <rPr>
            <b/>
            <sz val="9"/>
            <color indexed="81"/>
            <rFont val="Tahoma"/>
            <family val="2"/>
          </rPr>
          <t>Brian:</t>
        </r>
        <r>
          <rPr>
            <sz val="9"/>
            <color indexed="81"/>
            <rFont val="Tahoma"/>
            <family val="2"/>
          </rPr>
          <t xml:space="preserve">
This is the average cost of the points. If you see a point where the average goes down and then starts to go back up, this may be a good spot to choose as the buy down.</t>
        </r>
      </text>
    </comment>
    <comment ref="H26" authorId="0" shapeId="0" xr:uid="{00000000-0006-0000-0000-00000E000000}">
      <text>
        <r>
          <rPr>
            <b/>
            <sz val="9"/>
            <color indexed="81"/>
            <rFont val="Tahoma"/>
            <family val="2"/>
          </rPr>
          <t>Brian:</t>
        </r>
        <r>
          <rPr>
            <sz val="9"/>
            <color indexed="81"/>
            <rFont val="Tahoma"/>
            <family val="2"/>
          </rPr>
          <t xml:space="preserve">
This is just the cost of the buy down in terms of "points" based on the loan amount.</t>
        </r>
      </text>
    </comment>
    <comment ref="I26" authorId="0" shapeId="0" xr:uid="{00000000-0006-0000-0000-00000F000000}">
      <text>
        <r>
          <rPr>
            <b/>
            <sz val="9"/>
            <color indexed="81"/>
            <rFont val="Tahoma"/>
            <family val="2"/>
          </rPr>
          <t>Brian:</t>
        </r>
        <r>
          <rPr>
            <sz val="9"/>
            <color indexed="81"/>
            <rFont val="Tahoma"/>
            <family val="2"/>
          </rPr>
          <t xml:space="preserve">
This is the difference in the cost of the points, much the same way the "Cost Diff" column shows the difference for the actual dollar amounts - but instead it's in terms of points.</t>
        </r>
      </text>
    </comment>
    <comment ref="J26" authorId="0" shapeId="0" xr:uid="{00000000-0006-0000-0000-000010000000}">
      <text>
        <r>
          <rPr>
            <b/>
            <sz val="9"/>
            <color indexed="81"/>
            <rFont val="Tahoma"/>
            <family val="2"/>
          </rPr>
          <t>Brian:</t>
        </r>
        <r>
          <rPr>
            <sz val="9"/>
            <color indexed="81"/>
            <rFont val="Tahoma"/>
            <family val="2"/>
          </rPr>
          <t xml:space="preserve">
This is the new loan amount assuming you can roll in the closing costs and the cost of the rate buy down.</t>
        </r>
      </text>
    </comment>
    <comment ref="K26" authorId="0" shapeId="0" xr:uid="{00000000-0006-0000-0000-000011000000}">
      <text>
        <r>
          <rPr>
            <b/>
            <sz val="9"/>
            <color indexed="81"/>
            <rFont val="Tahoma"/>
            <family val="2"/>
          </rPr>
          <t>Brian:</t>
        </r>
        <r>
          <rPr>
            <sz val="9"/>
            <color indexed="81"/>
            <rFont val="Tahoma"/>
            <family val="2"/>
          </rPr>
          <t xml:space="preserve">
This is simply the difference between the new loan amount and the original loan balance.</t>
        </r>
      </text>
    </comment>
    <comment ref="L26" authorId="0" shapeId="0" xr:uid="{00000000-0006-0000-0000-000012000000}">
      <text>
        <r>
          <rPr>
            <b/>
            <sz val="9"/>
            <color indexed="81"/>
            <rFont val="Tahoma"/>
            <family val="2"/>
          </rPr>
          <t>Brian:</t>
        </r>
        <r>
          <rPr>
            <sz val="9"/>
            <color indexed="81"/>
            <rFont val="Tahoma"/>
            <family val="2"/>
          </rPr>
          <t xml:space="preserve">
The new PI payment based on the New Loan amount.</t>
        </r>
      </text>
    </comment>
    <comment ref="M26" authorId="0" shapeId="0" xr:uid="{00000000-0006-0000-0000-000013000000}">
      <text>
        <r>
          <rPr>
            <b/>
            <sz val="9"/>
            <color indexed="81"/>
            <rFont val="Tahoma"/>
            <family val="2"/>
          </rPr>
          <t>Brian:</t>
        </r>
        <r>
          <rPr>
            <sz val="9"/>
            <color indexed="81"/>
            <rFont val="Tahoma"/>
            <family val="2"/>
          </rPr>
          <t xml:space="preserve">
The difference in PI payment from the new PI payment and the current loan's PI payment.</t>
        </r>
      </text>
    </comment>
    <comment ref="N26" authorId="0" shapeId="0" xr:uid="{00000000-0006-0000-0000-000014000000}">
      <text>
        <r>
          <rPr>
            <b/>
            <sz val="9"/>
            <color indexed="81"/>
            <rFont val="Tahoma"/>
            <family val="2"/>
          </rPr>
          <t>Brian:</t>
        </r>
        <r>
          <rPr>
            <sz val="9"/>
            <color indexed="81"/>
            <rFont val="Tahoma"/>
            <family val="2"/>
          </rPr>
          <t xml:space="preserve">
This is Payment Diff * 12</t>
        </r>
      </text>
    </comment>
    <comment ref="O26" authorId="0" shapeId="0" xr:uid="{00000000-0006-0000-0000-000015000000}">
      <text>
        <r>
          <rPr>
            <b/>
            <sz val="9"/>
            <color indexed="81"/>
            <rFont val="Tahoma"/>
            <family val="2"/>
          </rPr>
          <t>Brian:</t>
        </r>
        <r>
          <rPr>
            <sz val="9"/>
            <color indexed="81"/>
            <rFont val="Tahoma"/>
            <family val="2"/>
          </rPr>
          <t xml:space="preserve">
This is a super confusing column that you may want to ignore. It's the payback in years based on the first difference in payment from the current loan to the refinance loan that it will take to pay back the buy down points. </t>
        </r>
      </text>
    </comment>
    <comment ref="P26" authorId="0" shapeId="0" xr:uid="{00000000-0006-0000-0000-000016000000}">
      <text>
        <r>
          <rPr>
            <b/>
            <sz val="9"/>
            <color indexed="81"/>
            <rFont val="Tahoma"/>
            <family val="2"/>
          </rPr>
          <t>Brian:</t>
        </r>
        <r>
          <rPr>
            <sz val="9"/>
            <color indexed="81"/>
            <rFont val="Tahoma"/>
            <family val="2"/>
          </rPr>
          <t xml:space="preserve">
This is the amount you'll lower your monthly PI payment by vs. the monthly payment derived by using the PAR Rate to get the PAR Payment. In other words, you'll see this much extra cash flow each month vs. the PAR Payment.</t>
        </r>
      </text>
    </comment>
    <comment ref="Q26" authorId="0" shapeId="0" xr:uid="{00000000-0006-0000-0000-000017000000}">
      <text>
        <r>
          <rPr>
            <b/>
            <sz val="9"/>
            <color indexed="81"/>
            <rFont val="Tahoma"/>
            <family val="2"/>
          </rPr>
          <t>Brian:</t>
        </r>
        <r>
          <rPr>
            <sz val="9"/>
            <color indexed="81"/>
            <rFont val="Tahoma"/>
            <family val="2"/>
          </rPr>
          <t xml:space="preserve">
This is New Payment Diff * 12</t>
        </r>
      </text>
    </comment>
    <comment ref="R26" authorId="0" shapeId="0" xr:uid="{00000000-0006-0000-0000-000018000000}">
      <text>
        <r>
          <rPr>
            <b/>
            <sz val="9"/>
            <color indexed="81"/>
            <rFont val="Tahoma"/>
            <family val="2"/>
          </rPr>
          <t>Brian:</t>
        </r>
        <r>
          <rPr>
            <sz val="9"/>
            <color indexed="81"/>
            <rFont val="Tahoma"/>
            <family val="2"/>
          </rPr>
          <t xml:space="preserve">
How long it takes for the extra cash flow you get to "pay back" the amount you paid to buy down the rate (vs. the top rate for the refi). If the years show as negative, it's because you are receiving a credit - simply ignore these.</t>
        </r>
      </text>
    </comment>
    <comment ref="S26" authorId="0" shapeId="0" xr:uid="{00000000-0006-0000-0000-000019000000}">
      <text>
        <r>
          <rPr>
            <b/>
            <sz val="9"/>
            <color indexed="81"/>
            <rFont val="Tahoma"/>
            <family val="2"/>
          </rPr>
          <t>Brian:</t>
        </r>
        <r>
          <rPr>
            <sz val="9"/>
            <color indexed="81"/>
            <rFont val="Tahoma"/>
            <family val="2"/>
          </rPr>
          <t xml:space="preserve">
This is the return on your invesment (of the extra money paid to buy down the rate). It is calculated by taking the extra cash flow you will get (from New Annual Diffs column) and dividing by the amount you paid to buy down the rate. This return is calculated using the PAR Payment as the base case.</t>
        </r>
      </text>
    </comment>
  </commentList>
</comments>
</file>

<file path=xl/sharedStrings.xml><?xml version="1.0" encoding="utf-8"?>
<sst xmlns="http://schemas.openxmlformats.org/spreadsheetml/2006/main" count="49" uniqueCount="34">
  <si>
    <t>Int Rate</t>
  </si>
  <si>
    <t>Cost</t>
  </si>
  <si>
    <t>Cost Diff</t>
  </si>
  <si>
    <t>New Loan</t>
  </si>
  <si>
    <t>New PI Payment</t>
  </si>
  <si>
    <t>Payment Diff</t>
  </si>
  <si>
    <t>Diff in Costs</t>
  </si>
  <si>
    <t>Cost in Points</t>
  </si>
  <si>
    <t>Diff in Points</t>
  </si>
  <si>
    <t>Current Loan Balance</t>
  </si>
  <si>
    <t>Diff from Orig</t>
  </si>
  <si>
    <t>Loan Length</t>
  </si>
  <si>
    <t>Avg Cost</t>
  </si>
  <si>
    <t>Payback Years</t>
  </si>
  <si>
    <t>Annual Diffs</t>
  </si>
  <si>
    <t>Return</t>
  </si>
  <si>
    <t>BUY DOWN INFORMATION FOR A PURCHASE</t>
  </si>
  <si>
    <t>PI Payment</t>
  </si>
  <si>
    <t>BUY DOWN INFORMATION FOR A REFINANCE WHERE POINTS AND CLOSING COSTS CAN BE ROLLED INTO THE NEW LOAN</t>
  </si>
  <si>
    <t>Current PI Payment</t>
  </si>
  <si>
    <t>Current Int Rate</t>
  </si>
  <si>
    <t>Orig Loan Balance</t>
  </si>
  <si>
    <t>Closing Costs</t>
  </si>
  <si>
    <t>Loan Amount</t>
  </si>
  <si>
    <t>New Payment Diff</t>
  </si>
  <si>
    <t>New Annual Diffs</t>
  </si>
  <si>
    <t>Instructions: Fill in all light orange cells. Your lender can provide you with this information. For the refianance, simply look at your current statement to get the current loan balance, interest rate, and current PI payment. Do NOT include insurance and taxes in the PI payment.</t>
  </si>
  <si>
    <t>PAR Rate</t>
  </si>
  <si>
    <t>PAR Payment</t>
  </si>
  <si>
    <t>PLEASE READ - IMPORTANT NOTES TO UNDERSTAND</t>
  </si>
  <si>
    <t>If Annual Diffs column is positive, then payback years is how long until the money you got at closing would be used up.</t>
  </si>
  <si>
    <t>If Annual Diffs column is negative, then payback is how long it will take to earn back (from a lower mortgage payment) the cost of the buydown</t>
  </si>
  <si>
    <t>Lastly, if the Payback Years column is negative (only possible in the refi model below), then it means the cost of the buy down points will never get paid back as the cost of the new payment is higher than the old payment.</t>
  </si>
  <si>
    <t>The below refinance information ASSUMES the costs of the buydown and closing costs are rolled into the new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</si>
</sst>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
    <numFmt numFmtId="165" formatCode="_(&quot;$&quot;* #,##0_);_(&quot;$&quot;* \(#,##0\);_(&quot;$&quot;* &quot;-&quot;??_);_(@_)"/>
    <numFmt numFmtId="166"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6"/>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Alignment="1">
      <alignment horizontal="center"/>
    </xf>
    <xf numFmtId="164" fontId="0" fillId="0" borderId="0" xfId="2" applyNumberFormat="1" applyFont="1" applyAlignment="1">
      <alignment horizontal="center"/>
    </xf>
    <xf numFmtId="165" fontId="0" fillId="0" borderId="0" xfId="0" applyNumberFormat="1" applyAlignment="1">
      <alignment horizontal="center"/>
    </xf>
    <xf numFmtId="44" fontId="0" fillId="0" borderId="0" xfId="0" applyNumberFormat="1" applyAlignment="1">
      <alignment horizontal="center"/>
    </xf>
    <xf numFmtId="8" fontId="0" fillId="0" borderId="0" xfId="0" applyNumberFormat="1" applyAlignment="1">
      <alignment horizontal="center"/>
    </xf>
    <xf numFmtId="164" fontId="0" fillId="0" borderId="0" xfId="0" applyNumberFormat="1" applyAlignment="1">
      <alignment horizontal="center"/>
    </xf>
    <xf numFmtId="165" fontId="0" fillId="0" borderId="0" xfId="1" applyNumberFormat="1" applyFont="1" applyFill="1" applyAlignment="1">
      <alignment horizontal="center"/>
    </xf>
    <xf numFmtId="2" fontId="0" fillId="0" borderId="0" xfId="0" applyNumberFormat="1" applyAlignment="1">
      <alignment horizontal="center"/>
    </xf>
    <xf numFmtId="0" fontId="0" fillId="0" borderId="0" xfId="0" applyFill="1" applyAlignment="1">
      <alignment horizontal="center"/>
    </xf>
    <xf numFmtId="8" fontId="0" fillId="0" borderId="0" xfId="0" applyNumberFormat="1"/>
    <xf numFmtId="2" fontId="0" fillId="0" borderId="0" xfId="0" applyNumberFormat="1"/>
    <xf numFmtId="0" fontId="0" fillId="0" borderId="0" xfId="0" applyFont="1"/>
    <xf numFmtId="0" fontId="2" fillId="0" borderId="0" xfId="0" applyFont="1" applyFill="1" applyAlignment="1"/>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0" fillId="0" borderId="0" xfId="0" applyBorder="1" applyAlignment="1">
      <alignment horizontal="center"/>
    </xf>
    <xf numFmtId="164" fontId="0" fillId="0" borderId="0" xfId="2" applyNumberFormat="1" applyFont="1" applyBorder="1" applyAlignment="1">
      <alignment horizontal="center"/>
    </xf>
    <xf numFmtId="8" fontId="0" fillId="0" borderId="0" xfId="0" applyNumberFormat="1" applyBorder="1" applyAlignment="1">
      <alignment horizontal="center"/>
    </xf>
    <xf numFmtId="0" fontId="0" fillId="0" borderId="0" xfId="0" applyBorder="1"/>
    <xf numFmtId="0" fontId="0" fillId="0" borderId="5" xfId="0" applyBorder="1"/>
    <xf numFmtId="0" fontId="3" fillId="0" borderId="4" xfId="0" applyFont="1" applyBorder="1" applyAlignment="1">
      <alignment horizontal="center"/>
    </xf>
    <xf numFmtId="164" fontId="0" fillId="0" borderId="0" xfId="0" applyNumberFormat="1" applyFill="1" applyBorder="1" applyAlignment="1">
      <alignment horizontal="center"/>
    </xf>
    <xf numFmtId="165" fontId="0" fillId="0" borderId="0" xfId="0" applyNumberFormat="1" applyBorder="1" applyAlignment="1">
      <alignment horizontal="center"/>
    </xf>
    <xf numFmtId="8" fontId="0" fillId="0" borderId="0" xfId="0" applyNumberFormat="1" applyBorder="1"/>
    <xf numFmtId="2" fontId="0" fillId="0" borderId="0" xfId="0" applyNumberFormat="1" applyBorder="1"/>
    <xf numFmtId="165" fontId="0" fillId="0" borderId="0" xfId="0" applyNumberFormat="1" applyFont="1" applyFill="1" applyBorder="1" applyAlignment="1">
      <alignment horizontal="center"/>
    </xf>
    <xf numFmtId="164" fontId="0" fillId="0" borderId="4" xfId="0" applyNumberFormat="1" applyBorder="1" applyAlignment="1">
      <alignment horizontal="center"/>
    </xf>
    <xf numFmtId="164" fontId="0" fillId="0" borderId="0" xfId="0" applyNumberFormat="1" applyFont="1" applyFill="1" applyBorder="1" applyAlignment="1">
      <alignment horizontal="center"/>
    </xf>
    <xf numFmtId="165" fontId="0" fillId="0" borderId="0" xfId="0" applyNumberFormat="1" applyFont="1" applyBorder="1" applyAlignment="1">
      <alignment horizontal="center"/>
    </xf>
    <xf numFmtId="8" fontId="0" fillId="0" borderId="0" xfId="0" applyNumberFormat="1" applyFont="1" applyBorder="1" applyAlignment="1">
      <alignment horizontal="center"/>
    </xf>
    <xf numFmtId="8" fontId="0" fillId="0" borderId="0" xfId="0" applyNumberFormat="1" applyFont="1" applyBorder="1"/>
    <xf numFmtId="2" fontId="0" fillId="0" borderId="0" xfId="0" applyNumberFormat="1" applyFont="1" applyBorder="1"/>
    <xf numFmtId="0" fontId="0" fillId="0" borderId="4" xfId="0" applyBorder="1" applyAlignment="1">
      <alignment horizontal="center"/>
    </xf>
    <xf numFmtId="164" fontId="0" fillId="0" borderId="7" xfId="0" applyNumberFormat="1" applyFill="1" applyBorder="1" applyAlignment="1">
      <alignment horizontal="center"/>
    </xf>
    <xf numFmtId="165" fontId="0" fillId="0" borderId="7" xfId="0" applyNumberFormat="1" applyBorder="1" applyAlignment="1">
      <alignment horizontal="center"/>
    </xf>
    <xf numFmtId="8" fontId="0" fillId="0" borderId="7" xfId="0" applyNumberFormat="1" applyBorder="1" applyAlignment="1">
      <alignment horizontal="center"/>
    </xf>
    <xf numFmtId="8" fontId="0" fillId="0" borderId="7" xfId="0" applyNumberFormat="1" applyBorder="1"/>
    <xf numFmtId="2" fontId="0" fillId="0" borderId="7" xfId="0" applyNumberFormat="1" applyBorder="1"/>
    <xf numFmtId="44" fontId="0" fillId="0" borderId="0" xfId="0" applyNumberFormat="1" applyBorder="1" applyAlignment="1">
      <alignment horizontal="center"/>
    </xf>
    <xf numFmtId="2" fontId="0" fillId="0" borderId="0" xfId="0" applyNumberFormat="1" applyBorder="1" applyAlignment="1">
      <alignment horizontal="center"/>
    </xf>
    <xf numFmtId="44" fontId="0" fillId="0" borderId="0" xfId="0" applyNumberFormat="1" applyFont="1" applyBorder="1" applyAlignment="1">
      <alignment horizontal="center"/>
    </xf>
    <xf numFmtId="166" fontId="0" fillId="0" borderId="5" xfId="2" applyNumberFormat="1" applyFont="1" applyBorder="1"/>
    <xf numFmtId="166" fontId="0" fillId="0" borderId="8" xfId="2" applyNumberFormat="1" applyFont="1" applyBorder="1"/>
    <xf numFmtId="10" fontId="0" fillId="0" borderId="0" xfId="2" applyNumberFormat="1" applyFont="1" applyBorder="1" applyAlignment="1">
      <alignment horizontal="center"/>
    </xf>
    <xf numFmtId="10" fontId="1" fillId="0" borderId="0" xfId="2" applyNumberFormat="1" applyFont="1" applyBorder="1" applyAlignment="1">
      <alignment horizontal="center"/>
    </xf>
    <xf numFmtId="10" fontId="0" fillId="0" borderId="7" xfId="2" applyNumberFormat="1" applyFont="1" applyBorder="1" applyAlignment="1">
      <alignment horizontal="center"/>
    </xf>
    <xf numFmtId="10" fontId="0" fillId="0" borderId="0" xfId="0" applyNumberFormat="1" applyBorder="1" applyAlignment="1">
      <alignment horizontal="center"/>
    </xf>
    <xf numFmtId="10" fontId="0" fillId="0" borderId="0" xfId="0" applyNumberFormat="1" applyFont="1" applyBorder="1" applyAlignment="1">
      <alignment horizontal="center"/>
    </xf>
    <xf numFmtId="10" fontId="0" fillId="0" borderId="7" xfId="0" applyNumberFormat="1" applyBorder="1" applyAlignment="1">
      <alignment horizontal="center"/>
    </xf>
    <xf numFmtId="44" fontId="0" fillId="2" borderId="4" xfId="1" applyFont="1" applyFill="1" applyBorder="1" applyAlignment="1" applyProtection="1">
      <alignment horizontal="center"/>
      <protection locked="0"/>
    </xf>
    <xf numFmtId="164" fontId="0" fillId="2" borderId="0" xfId="0" applyNumberFormat="1" applyFill="1" applyBorder="1" applyAlignment="1" applyProtection="1">
      <alignment horizontal="center"/>
      <protection locked="0"/>
    </xf>
    <xf numFmtId="0" fontId="0" fillId="2" borderId="4" xfId="0"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4" fillId="0" borderId="4" xfId="1" applyNumberFormat="1" applyFont="1" applyFill="1" applyBorder="1" applyAlignment="1">
      <alignment horizontal="center"/>
    </xf>
    <xf numFmtId="8" fontId="1" fillId="0" borderId="4" xfId="1" applyNumberFormat="1" applyFont="1" applyFill="1" applyBorder="1" applyAlignment="1">
      <alignment horizontal="center"/>
    </xf>
    <xf numFmtId="0" fontId="0" fillId="0" borderId="6" xfId="0" applyBorder="1" applyAlignment="1">
      <alignment horizontal="center"/>
    </xf>
    <xf numFmtId="0" fontId="2" fillId="0" borderId="0" xfId="0" applyFont="1"/>
    <xf numFmtId="44" fontId="0" fillId="2" borderId="0" xfId="1" applyNumberFormat="1" applyFont="1" applyFill="1" applyBorder="1" applyProtection="1">
      <protection locked="0"/>
    </xf>
    <xf numFmtId="164" fontId="1" fillId="2" borderId="4" xfId="2" applyNumberFormat="1" applyFont="1" applyFill="1" applyBorder="1" applyAlignment="1" applyProtection="1">
      <alignment horizontal="center"/>
      <protection locked="0"/>
    </xf>
    <xf numFmtId="44" fontId="0" fillId="2" borderId="7" xfId="1" applyNumberFormat="1" applyFont="1" applyFill="1" applyBorder="1" applyProtection="1">
      <protection locked="0"/>
    </xf>
    <xf numFmtId="8" fontId="1" fillId="0" borderId="6" xfId="1" applyNumberFormat="1" applyFont="1" applyFill="1" applyBorder="1" applyAlignment="1">
      <alignment horizontal="center"/>
    </xf>
    <xf numFmtId="164" fontId="0" fillId="5" borderId="0" xfId="0" applyNumberFormat="1" applyFill="1" applyBorder="1" applyAlignment="1">
      <alignment horizontal="center"/>
    </xf>
    <xf numFmtId="44" fontId="0" fillId="5" borderId="0" xfId="1" applyNumberFormat="1" applyFont="1" applyFill="1" applyBorder="1" applyProtection="1">
      <protection locked="0"/>
    </xf>
    <xf numFmtId="165" fontId="0" fillId="5" borderId="0" xfId="0" applyNumberFormat="1" applyFill="1" applyBorder="1" applyAlignment="1">
      <alignment horizontal="center"/>
    </xf>
    <xf numFmtId="10" fontId="0" fillId="5" borderId="0" xfId="2" applyNumberFormat="1" applyFont="1" applyFill="1" applyBorder="1" applyAlignment="1">
      <alignment horizontal="center"/>
    </xf>
    <xf numFmtId="10" fontId="0" fillId="5" borderId="0" xfId="0" applyNumberFormat="1" applyFill="1" applyBorder="1" applyAlignment="1">
      <alignment horizontal="center"/>
    </xf>
    <xf numFmtId="44" fontId="0" fillId="5" borderId="0" xfId="0" applyNumberFormat="1" applyFill="1" applyBorder="1" applyAlignment="1">
      <alignment horizontal="center"/>
    </xf>
    <xf numFmtId="8" fontId="0" fillId="5" borderId="0" xfId="0" applyNumberFormat="1" applyFill="1" applyBorder="1" applyAlignment="1">
      <alignment horizontal="center"/>
    </xf>
    <xf numFmtId="2" fontId="0" fillId="5" borderId="0" xfId="0" applyNumberFormat="1" applyFill="1" applyBorder="1" applyAlignment="1">
      <alignment horizontal="center"/>
    </xf>
    <xf numFmtId="8" fontId="0" fillId="5" borderId="0" xfId="0" applyNumberFormat="1" applyFill="1" applyBorder="1"/>
    <xf numFmtId="2" fontId="0" fillId="5" borderId="0" xfId="0" applyNumberFormat="1" applyFill="1" applyBorder="1"/>
    <xf numFmtId="166" fontId="0" fillId="5" borderId="5" xfId="2" applyNumberFormat="1" applyFont="1" applyFill="1" applyBorder="1"/>
    <xf numFmtId="0" fontId="0" fillId="5" borderId="0" xfId="0" applyFill="1" applyBorder="1" applyAlignment="1">
      <alignment horizontal="center"/>
    </xf>
    <xf numFmtId="0" fontId="0" fillId="5" borderId="0" xfId="0" applyFill="1" applyBorder="1"/>
    <xf numFmtId="0" fontId="0" fillId="5" borderId="5" xfId="0" applyFill="1" applyBorder="1"/>
    <xf numFmtId="0" fontId="0" fillId="5" borderId="7" xfId="0" applyFill="1" applyBorder="1" applyAlignment="1">
      <alignment horizontal="center"/>
    </xf>
    <xf numFmtId="0" fontId="0" fillId="5" borderId="7" xfId="0" applyFill="1" applyBorder="1"/>
    <xf numFmtId="0" fontId="0" fillId="5" borderId="8" xfId="0" applyFill="1" applyBorder="1"/>
    <xf numFmtId="10" fontId="0" fillId="2" borderId="4" xfId="2" applyNumberFormat="1" applyFont="1" applyFill="1" applyBorder="1" applyAlignment="1" applyProtection="1">
      <alignment horizontal="center"/>
      <protection locked="0"/>
    </xf>
    <xf numFmtId="0" fontId="7" fillId="3" borderId="0" xfId="0" applyFont="1" applyFill="1" applyAlignment="1">
      <alignment horizontal="center"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3" borderId="0" xfId="0" applyFont="1" applyFill="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1"/>
  <sheetViews>
    <sheetView tabSelected="1" zoomScaleNormal="100" workbookViewId="0">
      <selection activeCell="Q8" sqref="Q8"/>
    </sheetView>
  </sheetViews>
  <sheetFormatPr defaultRowHeight="15" x14ac:dyDescent="0.25"/>
  <cols>
    <col min="1" max="1" width="5.85546875" customWidth="1"/>
    <col min="2" max="2" width="29.42578125" style="1" customWidth="1"/>
    <col min="3" max="4" width="11.5703125" style="1" customWidth="1"/>
    <col min="5" max="5" width="9.140625" style="1"/>
    <col min="6" max="6" width="11.5703125" style="1" customWidth="1"/>
    <col min="7" max="7" width="11.85546875" style="1" customWidth="1"/>
    <col min="8" max="8" width="14.140625" style="1" customWidth="1"/>
    <col min="9" max="9" width="12.42578125" style="1" customWidth="1"/>
    <col min="10" max="10" width="11.85546875" style="1" customWidth="1"/>
    <col min="11" max="11" width="13.28515625" style="1" customWidth="1"/>
    <col min="12" max="12" width="15.7109375" style="1" customWidth="1"/>
    <col min="13" max="13" width="13.5703125" style="1" customWidth="1"/>
    <col min="14" max="14" width="11.85546875" style="1" customWidth="1"/>
    <col min="15" max="15" width="13.5703125" style="1" customWidth="1"/>
    <col min="16" max="16" width="18.28515625" customWidth="1"/>
    <col min="17" max="17" width="16.5703125" customWidth="1"/>
    <col min="18" max="18" width="13.5703125" customWidth="1"/>
    <col min="19" max="19" width="10.85546875" customWidth="1"/>
    <col min="20" max="20" width="17.140625" customWidth="1"/>
  </cols>
  <sheetData>
    <row r="1" spans="1:20" x14ac:dyDescent="0.25">
      <c r="B1" s="81" t="s">
        <v>26</v>
      </c>
      <c r="C1" s="81"/>
      <c r="D1" s="81"/>
      <c r="E1" s="81"/>
      <c r="F1" s="81"/>
      <c r="G1" s="81"/>
      <c r="H1" s="81"/>
      <c r="I1" s="81"/>
      <c r="J1" s="81"/>
      <c r="K1" s="81"/>
      <c r="L1" s="81"/>
      <c r="M1" s="81"/>
      <c r="N1" s="81"/>
      <c r="O1" s="81"/>
      <c r="P1" s="81"/>
      <c r="Q1" s="81"/>
      <c r="R1" s="81"/>
      <c r="S1" s="81"/>
    </row>
    <row r="2" spans="1:20" ht="38.25" customHeight="1" x14ac:dyDescent="0.25">
      <c r="B2" s="81"/>
      <c r="C2" s="81"/>
      <c r="D2" s="81"/>
      <c r="E2" s="81"/>
      <c r="F2" s="81"/>
      <c r="G2" s="81"/>
      <c r="H2" s="81"/>
      <c r="I2" s="81"/>
      <c r="J2" s="81"/>
      <c r="K2" s="81"/>
      <c r="L2" s="81"/>
      <c r="M2" s="81"/>
      <c r="N2" s="81"/>
      <c r="O2" s="81"/>
      <c r="P2" s="81"/>
      <c r="Q2" s="81"/>
      <c r="R2" s="81"/>
      <c r="S2" s="81"/>
    </row>
    <row r="3" spans="1:20" ht="15.75" thickBot="1" x14ac:dyDescent="0.3"/>
    <row r="4" spans="1:20" x14ac:dyDescent="0.25">
      <c r="B4" s="82" t="s">
        <v>16</v>
      </c>
      <c r="C4" s="83"/>
      <c r="D4" s="83"/>
      <c r="E4" s="83"/>
      <c r="F4" s="83"/>
      <c r="G4" s="83"/>
      <c r="H4" s="83"/>
      <c r="I4" s="83"/>
      <c r="J4" s="83"/>
      <c r="K4" s="83"/>
      <c r="L4" s="83"/>
      <c r="M4" s="83"/>
      <c r="N4" s="84"/>
      <c r="O4" s="13"/>
    </row>
    <row r="5" spans="1:20" x14ac:dyDescent="0.25">
      <c r="B5" s="14" t="s">
        <v>23</v>
      </c>
      <c r="C5" s="15" t="s">
        <v>0</v>
      </c>
      <c r="D5" s="15" t="s">
        <v>1</v>
      </c>
      <c r="E5" s="15" t="s">
        <v>2</v>
      </c>
      <c r="F5" s="15" t="s">
        <v>6</v>
      </c>
      <c r="G5" s="15" t="s">
        <v>12</v>
      </c>
      <c r="H5" s="15" t="s">
        <v>7</v>
      </c>
      <c r="I5" s="15" t="s">
        <v>8</v>
      </c>
      <c r="J5" s="15" t="s">
        <v>17</v>
      </c>
      <c r="K5" s="15" t="s">
        <v>5</v>
      </c>
      <c r="L5" s="15" t="s">
        <v>14</v>
      </c>
      <c r="M5" s="15" t="s">
        <v>13</v>
      </c>
      <c r="N5" s="16" t="s">
        <v>15</v>
      </c>
    </row>
    <row r="6" spans="1:20" x14ac:dyDescent="0.25">
      <c r="A6">
        <v>1</v>
      </c>
      <c r="B6" s="51">
        <v>152250</v>
      </c>
      <c r="C6" s="52">
        <v>5.1249999999999997E-2</v>
      </c>
      <c r="D6" s="59">
        <v>-2474.06</v>
      </c>
      <c r="E6" s="17"/>
      <c r="F6" s="17"/>
      <c r="G6" s="17"/>
      <c r="H6" s="18"/>
      <c r="I6" s="17"/>
      <c r="J6" s="19">
        <f t="shared" ref="J6:J17" si="0">-PMT(C6/12, $B$9*12, $B$6, 0)</f>
        <v>828.98141483317738</v>
      </c>
      <c r="K6" s="20"/>
      <c r="L6" s="20"/>
      <c r="M6" s="20"/>
      <c r="N6" s="21"/>
    </row>
    <row r="7" spans="1:20" x14ac:dyDescent="0.25">
      <c r="A7">
        <v>2</v>
      </c>
      <c r="B7" s="22"/>
      <c r="C7" s="23">
        <f>C6-0.00125</f>
        <v>4.9999999999999996E-2</v>
      </c>
      <c r="D7" s="59">
        <v>-2260.91</v>
      </c>
      <c r="E7" s="24">
        <f>D7-D6</f>
        <v>213.15000000000009</v>
      </c>
      <c r="F7" s="17"/>
      <c r="G7" s="24">
        <f t="shared" ref="G7:G17" si="1">(D7-$D$6)/A6</f>
        <v>213.15000000000009</v>
      </c>
      <c r="H7" s="45">
        <f t="shared" ref="H7:H17" si="2">E7/$B$6</f>
        <v>1.4000000000000006E-3</v>
      </c>
      <c r="I7" s="17"/>
      <c r="J7" s="19">
        <f t="shared" si="0"/>
        <v>817.31092103598178</v>
      </c>
      <c r="K7" s="25">
        <f t="shared" ref="K7:K17" si="3">J7-$B$15</f>
        <v>30.427831777693768</v>
      </c>
      <c r="L7" s="25">
        <f>K7*12</f>
        <v>365.13398133232522</v>
      </c>
      <c r="M7" s="26">
        <f t="shared" ref="M7:M17" si="4">D7/-L7</f>
        <v>6.1920010615014265</v>
      </c>
      <c r="N7" s="43" t="str">
        <f>IF(L7&gt;=0, "", -L7/D7)</f>
        <v/>
      </c>
    </row>
    <row r="8" spans="1:20" x14ac:dyDescent="0.25">
      <c r="A8">
        <v>3</v>
      </c>
      <c r="B8" s="14" t="s">
        <v>11</v>
      </c>
      <c r="C8" s="23">
        <f t="shared" ref="C8:C17" si="5">C7-0.00125</f>
        <v>4.8749999999999995E-2</v>
      </c>
      <c r="D8" s="59">
        <v>-1281.94</v>
      </c>
      <c r="E8" s="24">
        <f t="shared" ref="E8:F17" si="6">D8-D7</f>
        <v>978.9699999999998</v>
      </c>
      <c r="F8" s="24">
        <f>E8-E7</f>
        <v>765.81999999999971</v>
      </c>
      <c r="G8" s="24">
        <f t="shared" si="1"/>
        <v>596.05999999999995</v>
      </c>
      <c r="H8" s="45">
        <f t="shared" si="2"/>
        <v>6.4300164203612469E-3</v>
      </c>
      <c r="I8" s="48">
        <f t="shared" ref="I8:I17" si="7">H8-H7</f>
        <v>5.0300164203612458E-3</v>
      </c>
      <c r="J8" s="19">
        <f t="shared" si="0"/>
        <v>805.71952081061079</v>
      </c>
      <c r="K8" s="25">
        <f t="shared" si="3"/>
        <v>18.836431552322779</v>
      </c>
      <c r="L8" s="25">
        <f t="shared" ref="L8:L17" si="8">K8*12</f>
        <v>226.03717862787335</v>
      </c>
      <c r="M8" s="26">
        <f t="shared" si="4"/>
        <v>5.671367904084784</v>
      </c>
      <c r="N8" s="43" t="str">
        <f t="shared" ref="N8:N17" si="9">IF(L8&gt;=0, "", -L8/D8)</f>
        <v/>
      </c>
    </row>
    <row r="9" spans="1:20" x14ac:dyDescent="0.25">
      <c r="A9">
        <v>4</v>
      </c>
      <c r="B9" s="53">
        <v>30</v>
      </c>
      <c r="C9" s="23">
        <f t="shared" si="5"/>
        <v>4.7499999999999994E-2</v>
      </c>
      <c r="D9" s="59">
        <v>-531.35</v>
      </c>
      <c r="E9" s="27">
        <f t="shared" si="6"/>
        <v>750.59</v>
      </c>
      <c r="F9" s="24">
        <f t="shared" si="6"/>
        <v>-228.37999999999977</v>
      </c>
      <c r="G9" s="24">
        <f t="shared" si="1"/>
        <v>647.57000000000005</v>
      </c>
      <c r="H9" s="45">
        <f t="shared" si="2"/>
        <v>4.9299835796387526E-3</v>
      </c>
      <c r="I9" s="48">
        <f t="shared" si="7"/>
        <v>-1.5000328407224943E-3</v>
      </c>
      <c r="J9" s="19">
        <f t="shared" si="0"/>
        <v>794.20806982598629</v>
      </c>
      <c r="K9" s="25">
        <f t="shared" si="3"/>
        <v>7.324980567698276</v>
      </c>
      <c r="L9" s="25">
        <f t="shared" si="8"/>
        <v>87.899766812379312</v>
      </c>
      <c r="M9" s="26">
        <f t="shared" si="4"/>
        <v>6.0449534653960839</v>
      </c>
      <c r="N9" s="43" t="str">
        <f t="shared" si="9"/>
        <v/>
      </c>
    </row>
    <row r="10" spans="1:20" x14ac:dyDescent="0.25">
      <c r="A10">
        <v>5</v>
      </c>
      <c r="B10" s="28"/>
      <c r="C10" s="23">
        <f t="shared" si="5"/>
        <v>4.6249999999999993E-2</v>
      </c>
      <c r="D10" s="59">
        <v>321.25</v>
      </c>
      <c r="E10" s="24">
        <f t="shared" si="6"/>
        <v>852.6</v>
      </c>
      <c r="F10" s="24">
        <f t="shared" si="6"/>
        <v>102.00999999999999</v>
      </c>
      <c r="G10" s="24">
        <f t="shared" si="1"/>
        <v>698.82749999999999</v>
      </c>
      <c r="H10" s="45">
        <f t="shared" si="2"/>
        <v>5.5999999999999999E-3</v>
      </c>
      <c r="I10" s="48">
        <f t="shared" si="7"/>
        <v>6.7001642036124739E-4</v>
      </c>
      <c r="J10" s="19">
        <f t="shared" si="0"/>
        <v>782.77741307337863</v>
      </c>
      <c r="K10" s="25">
        <f t="shared" si="3"/>
        <v>-4.1056761849093846</v>
      </c>
      <c r="L10" s="25">
        <f t="shared" si="8"/>
        <v>-49.268114218912615</v>
      </c>
      <c r="M10" s="26">
        <f t="shared" si="4"/>
        <v>6.5204444110158644</v>
      </c>
      <c r="N10" s="43">
        <f t="shared" si="9"/>
        <v>0.15336377966976689</v>
      </c>
    </row>
    <row r="11" spans="1:20" x14ac:dyDescent="0.25">
      <c r="A11">
        <v>6</v>
      </c>
      <c r="B11" s="14" t="s">
        <v>27</v>
      </c>
      <c r="C11" s="29">
        <f t="shared" si="5"/>
        <v>4.4999999999999991E-2</v>
      </c>
      <c r="D11" s="59">
        <v>1345.89</v>
      </c>
      <c r="E11" s="30">
        <f t="shared" si="6"/>
        <v>1024.6400000000001</v>
      </c>
      <c r="F11" s="30">
        <f t="shared" si="6"/>
        <v>172.04000000000008</v>
      </c>
      <c r="G11" s="30">
        <f t="shared" si="1"/>
        <v>763.99</v>
      </c>
      <c r="H11" s="46">
        <f t="shared" si="2"/>
        <v>6.7299835796387529E-3</v>
      </c>
      <c r="I11" s="49">
        <f t="shared" si="7"/>
        <v>1.129983579638753E-3</v>
      </c>
      <c r="J11" s="31">
        <f t="shared" si="0"/>
        <v>771.42838420990336</v>
      </c>
      <c r="K11" s="25">
        <f t="shared" si="3"/>
        <v>-15.454705048384653</v>
      </c>
      <c r="L11" s="32">
        <f t="shared" si="8"/>
        <v>-185.45646058061584</v>
      </c>
      <c r="M11" s="33">
        <f t="shared" si="4"/>
        <v>7.257175057619289</v>
      </c>
      <c r="N11" s="43">
        <f t="shared" si="9"/>
        <v>0.13779466418549496</v>
      </c>
      <c r="T11" s="12"/>
    </row>
    <row r="12" spans="1:20" x14ac:dyDescent="0.25">
      <c r="A12">
        <v>7</v>
      </c>
      <c r="B12" s="60">
        <v>4.6699999999999998E-2</v>
      </c>
      <c r="C12" s="23">
        <f t="shared" si="5"/>
        <v>4.374999999999999E-2</v>
      </c>
      <c r="D12" s="59">
        <v>2417.73</v>
      </c>
      <c r="E12" s="24">
        <f t="shared" si="6"/>
        <v>1071.8399999999999</v>
      </c>
      <c r="F12" s="24">
        <f t="shared" si="6"/>
        <v>47.199999999999818</v>
      </c>
      <c r="G12" s="24">
        <f t="shared" si="1"/>
        <v>815.29833333333329</v>
      </c>
      <c r="H12" s="45">
        <f t="shared" si="2"/>
        <v>7.0399999999999994E-3</v>
      </c>
      <c r="I12" s="48">
        <f t="shared" si="7"/>
        <v>3.1001642036124644E-4</v>
      </c>
      <c r="J12" s="19">
        <f t="shared" si="0"/>
        <v>760.16180490181409</v>
      </c>
      <c r="K12" s="25">
        <f t="shared" si="3"/>
        <v>-26.721284356473916</v>
      </c>
      <c r="L12" s="25">
        <f t="shared" si="8"/>
        <v>-320.65541227768699</v>
      </c>
      <c r="M12" s="26">
        <f t="shared" si="4"/>
        <v>7.5399631736334154</v>
      </c>
      <c r="N12" s="43">
        <f t="shared" si="9"/>
        <v>0.13262664246118755</v>
      </c>
    </row>
    <row r="13" spans="1:20" x14ac:dyDescent="0.25">
      <c r="A13">
        <v>8</v>
      </c>
      <c r="B13" s="22"/>
      <c r="C13" s="23">
        <f t="shared" si="5"/>
        <v>4.2499999999999989E-2</v>
      </c>
      <c r="D13" s="59">
        <v>3485.01</v>
      </c>
      <c r="E13" s="27">
        <f t="shared" si="6"/>
        <v>1067.2800000000002</v>
      </c>
      <c r="F13" s="24">
        <f t="shared" si="6"/>
        <v>-4.5599999999997181</v>
      </c>
      <c r="G13" s="24">
        <f t="shared" si="1"/>
        <v>851.29571428571421</v>
      </c>
      <c r="H13" s="45">
        <f t="shared" si="2"/>
        <v>7.0100492610837449E-3</v>
      </c>
      <c r="I13" s="48">
        <f t="shared" si="7"/>
        <v>-2.9950738916254514E-5</v>
      </c>
      <c r="J13" s="19">
        <f t="shared" si="0"/>
        <v>748.97848416851366</v>
      </c>
      <c r="K13" s="25">
        <f t="shared" si="3"/>
        <v>-37.90460508977435</v>
      </c>
      <c r="L13" s="25">
        <f t="shared" si="8"/>
        <v>-454.8552610772922</v>
      </c>
      <c r="M13" s="26">
        <f t="shared" si="4"/>
        <v>7.6617999135505279</v>
      </c>
      <c r="N13" s="43">
        <f t="shared" si="9"/>
        <v>0.13051763440486316</v>
      </c>
    </row>
    <row r="14" spans="1:20" x14ac:dyDescent="0.25">
      <c r="A14">
        <v>9</v>
      </c>
      <c r="B14" s="55" t="s">
        <v>28</v>
      </c>
      <c r="C14" s="23">
        <f t="shared" si="5"/>
        <v>4.1249999999999988E-2</v>
      </c>
      <c r="D14" s="59">
        <v>4500.51</v>
      </c>
      <c r="E14" s="24">
        <f t="shared" si="6"/>
        <v>1015.5</v>
      </c>
      <c r="F14" s="24">
        <f t="shared" si="6"/>
        <v>-51.7800000000002</v>
      </c>
      <c r="G14" s="24">
        <f t="shared" si="1"/>
        <v>871.82124999999996</v>
      </c>
      <c r="H14" s="45">
        <f t="shared" si="2"/>
        <v>6.6699507389162563E-3</v>
      </c>
      <c r="I14" s="48">
        <f t="shared" si="7"/>
        <v>-3.4009852216748855E-4</v>
      </c>
      <c r="J14" s="19">
        <f t="shared" si="0"/>
        <v>737.8792177282088</v>
      </c>
      <c r="K14" s="25">
        <f t="shared" si="3"/>
        <v>-49.003871530079209</v>
      </c>
      <c r="L14" s="25">
        <f t="shared" si="8"/>
        <v>-588.04645836095051</v>
      </c>
      <c r="M14" s="26">
        <f t="shared" si="4"/>
        <v>7.653323876049142</v>
      </c>
      <c r="N14" s="43">
        <f t="shared" si="9"/>
        <v>0.13066218236620972</v>
      </c>
    </row>
    <row r="15" spans="1:20" x14ac:dyDescent="0.25">
      <c r="A15">
        <v>10</v>
      </c>
      <c r="B15" s="56">
        <f>-PMT(B12/12, $B$9*12, B6, 0)</f>
        <v>786.88308925828801</v>
      </c>
      <c r="C15" s="23">
        <f t="shared" si="5"/>
        <v>3.9999999999999987E-2</v>
      </c>
      <c r="D15" s="59">
        <v>5634.78</v>
      </c>
      <c r="E15" s="24">
        <f t="shared" si="6"/>
        <v>1134.2699999999995</v>
      </c>
      <c r="F15" s="24">
        <f t="shared" si="6"/>
        <v>118.76999999999953</v>
      </c>
      <c r="G15" s="24">
        <f t="shared" si="1"/>
        <v>900.98222222222228</v>
      </c>
      <c r="H15" s="45">
        <f t="shared" si="2"/>
        <v>7.4500492610837408E-3</v>
      </c>
      <c r="I15" s="48">
        <f t="shared" si="7"/>
        <v>7.800985221674845E-4</v>
      </c>
      <c r="J15" s="19">
        <f t="shared" si="0"/>
        <v>726.86478734616196</v>
      </c>
      <c r="K15" s="25">
        <f t="shared" si="3"/>
        <v>-60.018301912126049</v>
      </c>
      <c r="L15" s="25">
        <f t="shared" si="8"/>
        <v>-720.21962294551258</v>
      </c>
      <c r="M15" s="26">
        <f t="shared" si="4"/>
        <v>7.8236968564605363</v>
      </c>
      <c r="N15" s="43">
        <f t="shared" si="9"/>
        <v>0.12781681324657088</v>
      </c>
    </row>
    <row r="16" spans="1:20" x14ac:dyDescent="0.25">
      <c r="A16">
        <v>11</v>
      </c>
      <c r="B16" s="34"/>
      <c r="C16" s="23">
        <f t="shared" si="5"/>
        <v>3.8749999999999986E-2</v>
      </c>
      <c r="D16" s="59">
        <v>6765.99</v>
      </c>
      <c r="E16" s="24">
        <f t="shared" si="6"/>
        <v>1131.21</v>
      </c>
      <c r="F16" s="24">
        <f t="shared" si="6"/>
        <v>-3.0599999999994907</v>
      </c>
      <c r="G16" s="24">
        <f t="shared" si="1"/>
        <v>924.00499999999988</v>
      </c>
      <c r="H16" s="45">
        <f t="shared" si="2"/>
        <v>7.4299507389162566E-3</v>
      </c>
      <c r="I16" s="48">
        <f t="shared" si="7"/>
        <v>-2.0098522167484242E-5</v>
      </c>
      <c r="J16" s="19">
        <f t="shared" si="0"/>
        <v>715.93596018650146</v>
      </c>
      <c r="K16" s="25">
        <f t="shared" si="3"/>
        <v>-70.947129071786549</v>
      </c>
      <c r="L16" s="25">
        <f t="shared" si="8"/>
        <v>-851.36554886143858</v>
      </c>
      <c r="M16" s="26">
        <f t="shared" si="4"/>
        <v>7.9472208019791246</v>
      </c>
      <c r="N16" s="43">
        <f t="shared" si="9"/>
        <v>0.12583015181243817</v>
      </c>
    </row>
    <row r="17" spans="1:19" ht="15.75" thickBot="1" x14ac:dyDescent="0.3">
      <c r="A17">
        <v>12</v>
      </c>
      <c r="B17" s="57"/>
      <c r="C17" s="35">
        <f t="shared" si="5"/>
        <v>3.7499999999999985E-2</v>
      </c>
      <c r="D17" s="61">
        <v>7944.41</v>
      </c>
      <c r="E17" s="36">
        <f t="shared" si="6"/>
        <v>1178.42</v>
      </c>
      <c r="F17" s="36">
        <f t="shared" si="6"/>
        <v>47.210000000000036</v>
      </c>
      <c r="G17" s="36">
        <f t="shared" si="1"/>
        <v>947.13363636363636</v>
      </c>
      <c r="H17" s="47">
        <f t="shared" si="2"/>
        <v>7.7400328407224959E-3</v>
      </c>
      <c r="I17" s="50">
        <f t="shared" si="7"/>
        <v>3.1008210180623937E-4</v>
      </c>
      <c r="J17" s="37">
        <f t="shared" si="0"/>
        <v>705.09348816856436</v>
      </c>
      <c r="K17" s="38">
        <f t="shared" si="3"/>
        <v>-81.789601089723647</v>
      </c>
      <c r="L17" s="38">
        <f t="shared" si="8"/>
        <v>-981.47521307668376</v>
      </c>
      <c r="M17" s="39">
        <f t="shared" si="4"/>
        <v>8.0943562243372664</v>
      </c>
      <c r="N17" s="44">
        <f t="shared" si="9"/>
        <v>0.12354287015356506</v>
      </c>
    </row>
    <row r="18" spans="1:19" x14ac:dyDescent="0.25">
      <c r="B18" s="9"/>
      <c r="C18" s="6"/>
      <c r="D18" s="7"/>
      <c r="E18" s="3"/>
      <c r="F18" s="3"/>
      <c r="G18" s="3"/>
      <c r="H18" s="2"/>
      <c r="I18" s="6"/>
      <c r="J18" s="3"/>
      <c r="K18" s="4"/>
      <c r="L18" s="5"/>
      <c r="M18" s="5"/>
      <c r="N18" s="5"/>
      <c r="O18" s="8"/>
      <c r="P18" s="10"/>
      <c r="Q18" s="10"/>
      <c r="R18" s="11"/>
    </row>
    <row r="19" spans="1:19" x14ac:dyDescent="0.25">
      <c r="B19" s="85" t="s">
        <v>29</v>
      </c>
      <c r="C19" s="85"/>
      <c r="D19" s="85"/>
      <c r="E19" s="3"/>
      <c r="F19" s="3"/>
      <c r="G19" s="3"/>
      <c r="H19" s="2"/>
      <c r="I19" s="6"/>
      <c r="J19" s="3"/>
      <c r="K19" s="4"/>
      <c r="L19" s="5"/>
      <c r="M19" s="5"/>
      <c r="N19" s="5"/>
      <c r="O19" s="8"/>
      <c r="P19" s="10"/>
      <c r="Q19" s="10"/>
      <c r="R19" s="11"/>
    </row>
    <row r="20" spans="1:19" x14ac:dyDescent="0.25">
      <c r="B20" s="58" t="s">
        <v>30</v>
      </c>
      <c r="C20" s="6"/>
      <c r="D20" s="7"/>
      <c r="E20" s="3"/>
      <c r="F20" s="3"/>
      <c r="G20" s="3"/>
      <c r="H20" s="2"/>
      <c r="I20" s="6"/>
      <c r="J20" s="3"/>
      <c r="K20" s="4"/>
      <c r="L20" s="5"/>
      <c r="M20" s="5"/>
      <c r="N20" s="5"/>
      <c r="O20" s="8"/>
      <c r="P20" s="10"/>
      <c r="Q20" s="10"/>
      <c r="R20" s="11"/>
    </row>
    <row r="21" spans="1:19" x14ac:dyDescent="0.25">
      <c r="B21" s="58" t="s">
        <v>31</v>
      </c>
      <c r="C21" s="6"/>
      <c r="D21" s="7"/>
      <c r="E21" s="3"/>
      <c r="F21" s="3"/>
      <c r="G21" s="3"/>
      <c r="H21" s="2"/>
      <c r="I21" s="6"/>
      <c r="J21" s="3"/>
      <c r="K21" s="4"/>
      <c r="L21" s="5"/>
      <c r="M21" s="5"/>
      <c r="N21" s="5"/>
      <c r="O21" s="8"/>
      <c r="P21" s="10"/>
      <c r="Q21" s="10"/>
      <c r="R21" s="11"/>
    </row>
    <row r="22" spans="1:19" x14ac:dyDescent="0.25">
      <c r="B22" s="58" t="s">
        <v>32</v>
      </c>
      <c r="C22" s="6"/>
      <c r="D22" s="7"/>
      <c r="E22" s="3"/>
      <c r="F22" s="3"/>
      <c r="G22" s="3"/>
      <c r="H22" s="2"/>
      <c r="I22" s="6"/>
      <c r="J22" s="3"/>
      <c r="K22" s="4"/>
      <c r="L22" s="5"/>
      <c r="M22" s="5"/>
      <c r="N22" s="5"/>
      <c r="O22" s="8"/>
      <c r="P22" s="10"/>
      <c r="Q22" s="10"/>
      <c r="R22" s="11"/>
    </row>
    <row r="23" spans="1:19" x14ac:dyDescent="0.25">
      <c r="B23" s="58" t="s">
        <v>33</v>
      </c>
      <c r="C23" s="6"/>
      <c r="D23" s="7"/>
      <c r="E23" s="3"/>
      <c r="F23" s="3"/>
      <c r="G23" s="3"/>
      <c r="H23" s="2"/>
      <c r="I23" s="6"/>
      <c r="J23" s="3"/>
      <c r="K23" s="4"/>
      <c r="L23" s="5"/>
      <c r="M23" s="5"/>
      <c r="N23" s="5"/>
      <c r="O23" s="8"/>
      <c r="P23" s="10"/>
      <c r="Q23" s="10"/>
      <c r="R23" s="11"/>
    </row>
    <row r="24" spans="1:19" ht="15.75" thickBot="1" x14ac:dyDescent="0.3"/>
    <row r="25" spans="1:19" x14ac:dyDescent="0.25">
      <c r="B25" s="82" t="s">
        <v>18</v>
      </c>
      <c r="C25" s="83"/>
      <c r="D25" s="83"/>
      <c r="E25" s="83"/>
      <c r="F25" s="83"/>
      <c r="G25" s="83"/>
      <c r="H25" s="83"/>
      <c r="I25" s="83"/>
      <c r="J25" s="83"/>
      <c r="K25" s="83"/>
      <c r="L25" s="83"/>
      <c r="M25" s="83"/>
      <c r="N25" s="83"/>
      <c r="O25" s="83"/>
      <c r="P25" s="83"/>
      <c r="Q25" s="83"/>
      <c r="R25" s="83"/>
      <c r="S25" s="84"/>
    </row>
    <row r="26" spans="1:19" x14ac:dyDescent="0.25">
      <c r="B26" s="14" t="s">
        <v>9</v>
      </c>
      <c r="C26" s="15" t="s">
        <v>0</v>
      </c>
      <c r="D26" s="15" t="s">
        <v>1</v>
      </c>
      <c r="E26" s="15" t="s">
        <v>2</v>
      </c>
      <c r="F26" s="15" t="s">
        <v>6</v>
      </c>
      <c r="G26" s="15" t="s">
        <v>12</v>
      </c>
      <c r="H26" s="15" t="s">
        <v>7</v>
      </c>
      <c r="I26" s="15" t="s">
        <v>8</v>
      </c>
      <c r="J26" s="15" t="s">
        <v>3</v>
      </c>
      <c r="K26" s="15" t="s">
        <v>10</v>
      </c>
      <c r="L26" s="15" t="s">
        <v>4</v>
      </c>
      <c r="M26" s="15" t="s">
        <v>5</v>
      </c>
      <c r="N26" s="15" t="s">
        <v>14</v>
      </c>
      <c r="O26" s="15" t="s">
        <v>13</v>
      </c>
      <c r="P26" s="15" t="s">
        <v>24</v>
      </c>
      <c r="Q26" s="15" t="s">
        <v>25</v>
      </c>
      <c r="R26" s="15" t="s">
        <v>13</v>
      </c>
      <c r="S26" s="16" t="s">
        <v>15</v>
      </c>
    </row>
    <row r="27" spans="1:19" x14ac:dyDescent="0.25">
      <c r="A27">
        <v>1</v>
      </c>
      <c r="B27" s="51">
        <v>147500</v>
      </c>
      <c r="C27" s="52">
        <v>5.1249999999999997E-2</v>
      </c>
      <c r="D27" s="59">
        <v>-2474.06</v>
      </c>
      <c r="E27" s="17"/>
      <c r="F27" s="17"/>
      <c r="G27" s="17"/>
      <c r="H27" s="18"/>
      <c r="I27" s="17"/>
      <c r="J27" s="24">
        <f t="shared" ref="J27:J38" si="10">$B$27+$B$35+D27</f>
        <v>147025.94</v>
      </c>
      <c r="K27" s="40">
        <f t="shared" ref="K27:K38" si="11">J27-$B$33</f>
        <v>-5224.0599999999977</v>
      </c>
      <c r="L27" s="19">
        <f t="shared" ref="L27:L38" si="12">-PMT(C27/12, $B$37*12, J27, 0)</f>
        <v>800.53708872497782</v>
      </c>
      <c r="M27" s="19">
        <f t="shared" ref="M27:M38" si="13">L27-$B$29</f>
        <v>51.557088724977802</v>
      </c>
      <c r="N27" s="19">
        <f>M27*12</f>
        <v>618.68506469973363</v>
      </c>
      <c r="O27" s="41">
        <f t="shared" ref="O27:O38" si="14">D27/-N27</f>
        <v>3.9989004764495735</v>
      </c>
      <c r="P27" s="20"/>
      <c r="Q27" s="20"/>
      <c r="R27" s="20"/>
      <c r="S27" s="21"/>
    </row>
    <row r="28" spans="1:19" x14ac:dyDescent="0.25">
      <c r="A28">
        <v>2</v>
      </c>
      <c r="B28" s="14" t="s">
        <v>19</v>
      </c>
      <c r="C28" s="23">
        <f>C27-0.00125</f>
        <v>4.9999999999999996E-2</v>
      </c>
      <c r="D28" s="59">
        <v>-2260.91</v>
      </c>
      <c r="E28" s="24">
        <f>D28-D27</f>
        <v>213.15000000000009</v>
      </c>
      <c r="F28" s="17"/>
      <c r="G28" s="24">
        <f t="shared" ref="G28:G38" si="15">(D28-$D$27)/A27</f>
        <v>213.15000000000009</v>
      </c>
      <c r="H28" s="45">
        <f t="shared" ref="H28:H38" si="16">E28/$B$27</f>
        <v>1.4450847457627126E-3</v>
      </c>
      <c r="I28" s="17"/>
      <c r="J28" s="24">
        <f t="shared" si="10"/>
        <v>147239.09</v>
      </c>
      <c r="K28" s="40">
        <f t="shared" si="11"/>
        <v>-5010.9100000000035</v>
      </c>
      <c r="L28" s="19">
        <f t="shared" si="12"/>
        <v>790.41127264630416</v>
      </c>
      <c r="M28" s="19">
        <f t="shared" si="13"/>
        <v>41.431272646304137</v>
      </c>
      <c r="N28" s="19">
        <f t="shared" ref="N28:N38" si="17">M28*12</f>
        <v>497.17527175564965</v>
      </c>
      <c r="O28" s="41">
        <f t="shared" si="14"/>
        <v>4.5475109653305239</v>
      </c>
      <c r="P28" s="25">
        <f>L28-$B$41</f>
        <v>17.741178432090351</v>
      </c>
      <c r="Q28" s="25">
        <f>P28*12</f>
        <v>212.89414118508421</v>
      </c>
      <c r="R28" s="26">
        <f>D28/-Q28</f>
        <v>10.619878909840116</v>
      </c>
      <c r="S28" s="43" t="str">
        <f>IF(Q28&gt;=0, "", -Q28/D28)</f>
        <v/>
      </c>
    </row>
    <row r="29" spans="1:19" x14ac:dyDescent="0.25">
      <c r="A29">
        <v>3</v>
      </c>
      <c r="B29" s="51">
        <v>748.98</v>
      </c>
      <c r="C29" s="23">
        <f t="shared" ref="C29:C38" si="18">C28-0.00125</f>
        <v>4.8749999999999995E-2</v>
      </c>
      <c r="D29" s="59">
        <v>-1281.94</v>
      </c>
      <c r="E29" s="24">
        <f t="shared" ref="E29:F38" si="19">D29-D28</f>
        <v>978.9699999999998</v>
      </c>
      <c r="F29" s="24">
        <f>E29-E28</f>
        <v>765.81999999999971</v>
      </c>
      <c r="G29" s="24">
        <f t="shared" si="15"/>
        <v>596.05999999999995</v>
      </c>
      <c r="H29" s="45">
        <f t="shared" si="16"/>
        <v>6.6370847457627108E-3</v>
      </c>
      <c r="I29" s="48">
        <f t="shared" ref="I29:I38" si="20">H29-H28</f>
        <v>5.1919999999999987E-3</v>
      </c>
      <c r="J29" s="24">
        <f t="shared" si="10"/>
        <v>148218.06</v>
      </c>
      <c r="K29" s="40">
        <f t="shared" si="11"/>
        <v>-4031.9400000000023</v>
      </c>
      <c r="L29" s="19">
        <f t="shared" si="12"/>
        <v>784.38216274993999</v>
      </c>
      <c r="M29" s="19">
        <f t="shared" si="13"/>
        <v>35.402162749939976</v>
      </c>
      <c r="N29" s="19">
        <f t="shared" si="17"/>
        <v>424.82595299927971</v>
      </c>
      <c r="O29" s="41">
        <f t="shared" si="14"/>
        <v>3.017565172159276</v>
      </c>
      <c r="P29" s="25">
        <f t="shared" ref="P29:P38" si="21">L29-$B$41</f>
        <v>11.712068535726189</v>
      </c>
      <c r="Q29" s="25">
        <f t="shared" ref="Q29:Q38" si="22">P29*12</f>
        <v>140.54482242871427</v>
      </c>
      <c r="R29" s="26">
        <f t="shared" ref="R29:R38" si="23">D29/-Q29</f>
        <v>9.1212182551243597</v>
      </c>
      <c r="S29" s="43" t="str">
        <f t="shared" ref="S29:S38" si="24">IF(Q29&gt;=0, "", -Q29/D29)</f>
        <v/>
      </c>
    </row>
    <row r="30" spans="1:19" x14ac:dyDescent="0.25">
      <c r="A30">
        <v>4</v>
      </c>
      <c r="B30" s="14" t="s">
        <v>20</v>
      </c>
      <c r="C30" s="23">
        <f t="shared" si="18"/>
        <v>4.7499999999999994E-2</v>
      </c>
      <c r="D30" s="59">
        <v>-531.35</v>
      </c>
      <c r="E30" s="27">
        <f t="shared" si="19"/>
        <v>750.59</v>
      </c>
      <c r="F30" s="24">
        <f t="shared" si="19"/>
        <v>-228.37999999999977</v>
      </c>
      <c r="G30" s="24">
        <f t="shared" si="15"/>
        <v>647.57000000000005</v>
      </c>
      <c r="H30" s="45">
        <f t="shared" si="16"/>
        <v>5.0887457627118646E-3</v>
      </c>
      <c r="I30" s="48">
        <f t="shared" si="20"/>
        <v>-1.5483389830508463E-3</v>
      </c>
      <c r="J30" s="24">
        <f t="shared" si="10"/>
        <v>148968.65</v>
      </c>
      <c r="K30" s="40">
        <f t="shared" si="11"/>
        <v>-3281.3500000000058</v>
      </c>
      <c r="L30" s="19">
        <f t="shared" si="12"/>
        <v>777.09099494964141</v>
      </c>
      <c r="M30" s="19">
        <f t="shared" si="13"/>
        <v>28.110994949641395</v>
      </c>
      <c r="N30" s="19">
        <f t="shared" si="17"/>
        <v>337.33193939569674</v>
      </c>
      <c r="O30" s="41">
        <f t="shared" si="14"/>
        <v>1.5751547302395117</v>
      </c>
      <c r="P30" s="25">
        <f t="shared" si="21"/>
        <v>4.4209007354276082</v>
      </c>
      <c r="Q30" s="25">
        <f t="shared" si="22"/>
        <v>53.050808825131298</v>
      </c>
      <c r="R30" s="26">
        <f t="shared" si="23"/>
        <v>10.015869913528787</v>
      </c>
      <c r="S30" s="43" t="str">
        <f t="shared" si="24"/>
        <v/>
      </c>
    </row>
    <row r="31" spans="1:19" x14ac:dyDescent="0.25">
      <c r="A31">
        <v>5</v>
      </c>
      <c r="B31" s="54">
        <v>4.2500000000000003E-2</v>
      </c>
      <c r="C31" s="23">
        <f t="shared" si="18"/>
        <v>4.6249999999999993E-2</v>
      </c>
      <c r="D31" s="59">
        <v>321.25</v>
      </c>
      <c r="E31" s="24">
        <f t="shared" si="19"/>
        <v>852.6</v>
      </c>
      <c r="F31" s="24">
        <f t="shared" si="19"/>
        <v>102.00999999999999</v>
      </c>
      <c r="G31" s="24">
        <f t="shared" si="15"/>
        <v>698.82749999999999</v>
      </c>
      <c r="H31" s="45">
        <f t="shared" si="16"/>
        <v>5.7803389830508476E-3</v>
      </c>
      <c r="I31" s="48">
        <f t="shared" si="20"/>
        <v>6.9159322033898307E-4</v>
      </c>
      <c r="J31" s="24">
        <f t="shared" si="10"/>
        <v>149821.25</v>
      </c>
      <c r="K31" s="40">
        <f t="shared" si="11"/>
        <v>-2428.75</v>
      </c>
      <c r="L31" s="19">
        <f t="shared" si="12"/>
        <v>770.29024957911281</v>
      </c>
      <c r="M31" s="19">
        <f t="shared" si="13"/>
        <v>21.310249579112792</v>
      </c>
      <c r="N31" s="19">
        <f t="shared" si="17"/>
        <v>255.72299494935351</v>
      </c>
      <c r="O31" s="41">
        <f t="shared" si="14"/>
        <v>-1.2562421305273086</v>
      </c>
      <c r="P31" s="25">
        <f t="shared" si="21"/>
        <v>-2.3798446351009943</v>
      </c>
      <c r="Q31" s="25">
        <f t="shared" si="22"/>
        <v>-28.558135621211932</v>
      </c>
      <c r="R31" s="26">
        <f t="shared" si="23"/>
        <v>11.248983626276615</v>
      </c>
      <c r="S31" s="43">
        <f t="shared" si="24"/>
        <v>8.889692022167138E-2</v>
      </c>
    </row>
    <row r="32" spans="1:19" x14ac:dyDescent="0.25">
      <c r="A32">
        <v>6</v>
      </c>
      <c r="B32" s="14" t="s">
        <v>21</v>
      </c>
      <c r="C32" s="29">
        <f t="shared" si="18"/>
        <v>4.4999999999999991E-2</v>
      </c>
      <c r="D32" s="59">
        <v>1345.89</v>
      </c>
      <c r="E32" s="30">
        <f t="shared" si="19"/>
        <v>1024.6400000000001</v>
      </c>
      <c r="F32" s="30">
        <f t="shared" si="19"/>
        <v>172.04000000000008</v>
      </c>
      <c r="G32" s="30">
        <f t="shared" si="15"/>
        <v>763.99</v>
      </c>
      <c r="H32" s="46">
        <f t="shared" si="16"/>
        <v>6.94671186440678E-3</v>
      </c>
      <c r="I32" s="49">
        <f t="shared" si="20"/>
        <v>1.1663728813559324E-3</v>
      </c>
      <c r="J32" s="30">
        <f t="shared" si="10"/>
        <v>150845.89000000001</v>
      </c>
      <c r="K32" s="42">
        <f t="shared" si="11"/>
        <v>-1404.109999999986</v>
      </c>
      <c r="L32" s="31">
        <f t="shared" si="12"/>
        <v>764.31396510610728</v>
      </c>
      <c r="M32" s="31">
        <f t="shared" si="13"/>
        <v>15.333965106107257</v>
      </c>
      <c r="N32" s="31">
        <f t="shared" si="17"/>
        <v>184.00758127328709</v>
      </c>
      <c r="O32" s="41">
        <f t="shared" si="14"/>
        <v>-7.3143181964937165</v>
      </c>
      <c r="P32" s="25">
        <f t="shared" si="21"/>
        <v>-8.3561291081065292</v>
      </c>
      <c r="Q32" s="32">
        <f t="shared" si="22"/>
        <v>-100.27354929727835</v>
      </c>
      <c r="R32" s="33">
        <f t="shared" si="23"/>
        <v>13.422183710779754</v>
      </c>
      <c r="S32" s="43">
        <f t="shared" si="24"/>
        <v>7.4503525026026154E-2</v>
      </c>
    </row>
    <row r="33" spans="1:19" x14ac:dyDescent="0.25">
      <c r="A33">
        <v>7</v>
      </c>
      <c r="B33" s="51">
        <v>152250</v>
      </c>
      <c r="C33" s="23">
        <f t="shared" si="18"/>
        <v>4.374999999999999E-2</v>
      </c>
      <c r="D33" s="59">
        <v>2417.73</v>
      </c>
      <c r="E33" s="24">
        <f t="shared" si="19"/>
        <v>1071.8399999999999</v>
      </c>
      <c r="F33" s="24">
        <f t="shared" si="19"/>
        <v>47.199999999999818</v>
      </c>
      <c r="G33" s="24">
        <f t="shared" si="15"/>
        <v>815.29833333333329</v>
      </c>
      <c r="H33" s="45">
        <f t="shared" si="16"/>
        <v>7.2667118644067791E-3</v>
      </c>
      <c r="I33" s="48">
        <f t="shared" si="20"/>
        <v>3.199999999999991E-4</v>
      </c>
      <c r="J33" s="24">
        <f t="shared" si="10"/>
        <v>151917.73000000001</v>
      </c>
      <c r="K33" s="40">
        <f t="shared" si="11"/>
        <v>-332.26999999998952</v>
      </c>
      <c r="L33" s="19">
        <f t="shared" si="12"/>
        <v>758.50282977593747</v>
      </c>
      <c r="M33" s="19">
        <f t="shared" si="13"/>
        <v>9.5228297759374527</v>
      </c>
      <c r="N33" s="19">
        <f t="shared" si="17"/>
        <v>114.27395731124943</v>
      </c>
      <c r="O33" s="41">
        <f t="shared" si="14"/>
        <v>-21.157314027506704</v>
      </c>
      <c r="P33" s="25">
        <f t="shared" si="21"/>
        <v>-14.167264438276334</v>
      </c>
      <c r="Q33" s="25">
        <f t="shared" si="22"/>
        <v>-170.007173259316</v>
      </c>
      <c r="R33" s="26">
        <f t="shared" si="23"/>
        <v>14.22134109783814</v>
      </c>
      <c r="S33" s="43">
        <f t="shared" si="24"/>
        <v>7.031685641461867E-2</v>
      </c>
    </row>
    <row r="34" spans="1:19" x14ac:dyDescent="0.25">
      <c r="A34">
        <v>8</v>
      </c>
      <c r="B34" s="14" t="s">
        <v>22</v>
      </c>
      <c r="C34" s="23">
        <f t="shared" si="18"/>
        <v>4.2499999999999989E-2</v>
      </c>
      <c r="D34" s="59">
        <v>3485.01</v>
      </c>
      <c r="E34" s="27">
        <f t="shared" si="19"/>
        <v>1067.2800000000002</v>
      </c>
      <c r="F34" s="24">
        <f t="shared" si="19"/>
        <v>-4.5599999999997181</v>
      </c>
      <c r="G34" s="24">
        <f t="shared" si="15"/>
        <v>851.29571428571421</v>
      </c>
      <c r="H34" s="45">
        <f t="shared" si="16"/>
        <v>7.2357966101694931E-3</v>
      </c>
      <c r="I34" s="48">
        <f t="shared" si="20"/>
        <v>-3.091525423728602E-5</v>
      </c>
      <c r="J34" s="24">
        <f t="shared" si="10"/>
        <v>152985.01</v>
      </c>
      <c r="K34" s="40">
        <f t="shared" si="11"/>
        <v>735.01000000000931</v>
      </c>
      <c r="L34" s="19">
        <f t="shared" si="12"/>
        <v>752.5942915619371</v>
      </c>
      <c r="M34" s="19">
        <f t="shared" si="13"/>
        <v>3.6142915619370797</v>
      </c>
      <c r="N34" s="19">
        <f t="shared" si="17"/>
        <v>43.371498743244956</v>
      </c>
      <c r="O34" s="41">
        <f t="shared" si="14"/>
        <v>-80.352537979628508</v>
      </c>
      <c r="P34" s="25">
        <f t="shared" si="21"/>
        <v>-20.075802652276707</v>
      </c>
      <c r="Q34" s="25">
        <f t="shared" si="22"/>
        <v>-240.90963182732048</v>
      </c>
      <c r="R34" s="26">
        <f t="shared" si="23"/>
        <v>14.466046764365114</v>
      </c>
      <c r="S34" s="43">
        <f t="shared" si="24"/>
        <v>6.912738609855365E-2</v>
      </c>
    </row>
    <row r="35" spans="1:19" x14ac:dyDescent="0.25">
      <c r="A35">
        <v>9</v>
      </c>
      <c r="B35" s="51">
        <v>2000</v>
      </c>
      <c r="C35" s="23">
        <f t="shared" si="18"/>
        <v>4.1249999999999988E-2</v>
      </c>
      <c r="D35" s="59">
        <v>4500.51</v>
      </c>
      <c r="E35" s="24">
        <f t="shared" si="19"/>
        <v>1015.5</v>
      </c>
      <c r="F35" s="24">
        <f t="shared" si="19"/>
        <v>-51.7800000000002</v>
      </c>
      <c r="G35" s="24">
        <f t="shared" si="15"/>
        <v>871.82124999999996</v>
      </c>
      <c r="H35" s="45">
        <f t="shared" si="16"/>
        <v>6.8847457627118644E-3</v>
      </c>
      <c r="I35" s="48">
        <f t="shared" si="20"/>
        <v>-3.510508474576287E-4</v>
      </c>
      <c r="J35" s="24">
        <f t="shared" si="10"/>
        <v>154000.51</v>
      </c>
      <c r="K35" s="40">
        <f t="shared" si="11"/>
        <v>1750.5100000000093</v>
      </c>
      <c r="L35" s="19">
        <f t="shared" si="12"/>
        <v>746.36305976055962</v>
      </c>
      <c r="M35" s="19">
        <f t="shared" si="13"/>
        <v>-2.616940239440396</v>
      </c>
      <c r="N35" s="19">
        <f t="shared" si="17"/>
        <v>-31.403282873284752</v>
      </c>
      <c r="O35" s="41">
        <f t="shared" si="14"/>
        <v>143.31336052220999</v>
      </c>
      <c r="P35" s="25">
        <f t="shared" si="21"/>
        <v>-26.307034453654182</v>
      </c>
      <c r="Q35" s="25">
        <f t="shared" si="22"/>
        <v>-315.68441344385019</v>
      </c>
      <c r="R35" s="26">
        <f t="shared" si="23"/>
        <v>14.25635795858034</v>
      </c>
      <c r="S35" s="43">
        <f t="shared" si="24"/>
        <v>7.0144142206961024E-2</v>
      </c>
    </row>
    <row r="36" spans="1:19" x14ac:dyDescent="0.25">
      <c r="A36">
        <v>10</v>
      </c>
      <c r="B36" s="14" t="s">
        <v>11</v>
      </c>
      <c r="C36" s="23">
        <f t="shared" si="18"/>
        <v>3.9999999999999987E-2</v>
      </c>
      <c r="D36" s="59">
        <v>5634.78</v>
      </c>
      <c r="E36" s="24">
        <f t="shared" si="19"/>
        <v>1134.2699999999995</v>
      </c>
      <c r="F36" s="24">
        <f t="shared" si="19"/>
        <v>118.76999999999953</v>
      </c>
      <c r="G36" s="24">
        <f t="shared" si="15"/>
        <v>900.98222222222228</v>
      </c>
      <c r="H36" s="45">
        <f t="shared" si="16"/>
        <v>7.6899661016949124E-3</v>
      </c>
      <c r="I36" s="48">
        <f t="shared" si="20"/>
        <v>8.0522033898304795E-4</v>
      </c>
      <c r="J36" s="24">
        <f t="shared" si="10"/>
        <v>155134.78</v>
      </c>
      <c r="K36" s="40">
        <f t="shared" si="11"/>
        <v>2884.7799999999988</v>
      </c>
      <c r="L36" s="19">
        <f t="shared" si="12"/>
        <v>740.63716830669034</v>
      </c>
      <c r="M36" s="19">
        <f t="shared" si="13"/>
        <v>-8.3428316933096767</v>
      </c>
      <c r="N36" s="19">
        <f t="shared" si="17"/>
        <v>-100.11398031971612</v>
      </c>
      <c r="O36" s="41">
        <f t="shared" si="14"/>
        <v>56.283647718382689</v>
      </c>
      <c r="P36" s="25">
        <f t="shared" si="21"/>
        <v>-32.032925907523463</v>
      </c>
      <c r="Q36" s="25">
        <f t="shared" si="22"/>
        <v>-384.39511089028156</v>
      </c>
      <c r="R36" s="26">
        <f t="shared" si="23"/>
        <v>14.65882327938438</v>
      </c>
      <c r="S36" s="43">
        <f t="shared" si="24"/>
        <v>6.8218299718938724E-2</v>
      </c>
    </row>
    <row r="37" spans="1:19" x14ac:dyDescent="0.25">
      <c r="A37">
        <v>11</v>
      </c>
      <c r="B37" s="53">
        <v>30</v>
      </c>
      <c r="C37" s="23">
        <f t="shared" si="18"/>
        <v>3.8749999999999986E-2</v>
      </c>
      <c r="D37" s="59">
        <v>6765.99</v>
      </c>
      <c r="E37" s="24">
        <f t="shared" si="19"/>
        <v>1131.21</v>
      </c>
      <c r="F37" s="24">
        <f t="shared" si="19"/>
        <v>-3.0599999999994907</v>
      </c>
      <c r="G37" s="24">
        <f t="shared" si="15"/>
        <v>924.00499999999988</v>
      </c>
      <c r="H37" s="45">
        <f t="shared" si="16"/>
        <v>7.6692203389830509E-3</v>
      </c>
      <c r="I37" s="48">
        <f t="shared" si="20"/>
        <v>-2.0745762711861515E-5</v>
      </c>
      <c r="J37" s="24">
        <f t="shared" si="10"/>
        <v>156265.99</v>
      </c>
      <c r="K37" s="40">
        <f t="shared" si="11"/>
        <v>4015.9899999999907</v>
      </c>
      <c r="L37" s="19">
        <f t="shared" si="12"/>
        <v>734.82063445086521</v>
      </c>
      <c r="M37" s="19">
        <f t="shared" si="13"/>
        <v>-14.159365549134804</v>
      </c>
      <c r="N37" s="19">
        <f t="shared" si="17"/>
        <v>-169.91238658961765</v>
      </c>
      <c r="O37" s="41">
        <f t="shared" si="14"/>
        <v>39.820463568330752</v>
      </c>
      <c r="P37" s="25">
        <f t="shared" si="21"/>
        <v>-37.849459763348591</v>
      </c>
      <c r="Q37" s="25">
        <f t="shared" si="22"/>
        <v>-454.19351716018309</v>
      </c>
      <c r="R37" s="26">
        <f t="shared" si="23"/>
        <v>14.896711961685263</v>
      </c>
      <c r="S37" s="43">
        <f t="shared" si="24"/>
        <v>6.7128907544968752E-2</v>
      </c>
    </row>
    <row r="38" spans="1:19" x14ac:dyDescent="0.25">
      <c r="A38">
        <v>12</v>
      </c>
      <c r="B38" s="14" t="s">
        <v>27</v>
      </c>
      <c r="C38" s="23">
        <f t="shared" si="18"/>
        <v>3.7499999999999985E-2</v>
      </c>
      <c r="D38" s="59">
        <v>7944.41</v>
      </c>
      <c r="E38" s="24">
        <f t="shared" si="19"/>
        <v>1178.42</v>
      </c>
      <c r="F38" s="24">
        <f t="shared" si="19"/>
        <v>47.210000000000036</v>
      </c>
      <c r="G38" s="24">
        <f t="shared" si="15"/>
        <v>947.13363636363636</v>
      </c>
      <c r="H38" s="45">
        <f t="shared" si="16"/>
        <v>7.9892881355932213E-3</v>
      </c>
      <c r="I38" s="48">
        <f t="shared" si="20"/>
        <v>3.2006779661017046E-4</v>
      </c>
      <c r="J38" s="24">
        <f t="shared" si="10"/>
        <v>157444.41</v>
      </c>
      <c r="K38" s="40">
        <f t="shared" si="11"/>
        <v>5194.4100000000035</v>
      </c>
      <c r="L38" s="19">
        <f t="shared" si="12"/>
        <v>729.14961076874613</v>
      </c>
      <c r="M38" s="19">
        <f t="shared" si="13"/>
        <v>-19.830389231253889</v>
      </c>
      <c r="N38" s="19">
        <f t="shared" si="17"/>
        <v>-237.96467077504667</v>
      </c>
      <c r="O38" s="41">
        <f t="shared" si="14"/>
        <v>33.384829664526244</v>
      </c>
      <c r="P38" s="25">
        <f t="shared" si="21"/>
        <v>-43.520483445467676</v>
      </c>
      <c r="Q38" s="25">
        <f t="shared" si="22"/>
        <v>-522.24580134561211</v>
      </c>
      <c r="R38" s="26">
        <f t="shared" si="23"/>
        <v>15.212013154592206</v>
      </c>
      <c r="S38" s="43">
        <f t="shared" si="24"/>
        <v>6.5737518751626881E-2</v>
      </c>
    </row>
    <row r="39" spans="1:19" x14ac:dyDescent="0.25">
      <c r="B39" s="80">
        <v>4.6699999999999998E-2</v>
      </c>
      <c r="C39" s="63"/>
      <c r="D39" s="64"/>
      <c r="E39" s="65"/>
      <c r="F39" s="65"/>
      <c r="G39" s="65"/>
      <c r="H39" s="66"/>
      <c r="I39" s="67"/>
      <c r="J39" s="65"/>
      <c r="K39" s="68"/>
      <c r="L39" s="69"/>
      <c r="M39" s="69"/>
      <c r="N39" s="69"/>
      <c r="O39" s="70"/>
      <c r="P39" s="71"/>
      <c r="Q39" s="71"/>
      <c r="R39" s="72"/>
      <c r="S39" s="73"/>
    </row>
    <row r="40" spans="1:19" x14ac:dyDescent="0.25">
      <c r="B40" s="14" t="s">
        <v>28</v>
      </c>
      <c r="C40" s="74"/>
      <c r="D40" s="74"/>
      <c r="E40" s="74"/>
      <c r="F40" s="74"/>
      <c r="G40" s="74"/>
      <c r="H40" s="74"/>
      <c r="I40" s="74"/>
      <c r="J40" s="74"/>
      <c r="K40" s="74"/>
      <c r="L40" s="74"/>
      <c r="M40" s="74"/>
      <c r="N40" s="74"/>
      <c r="O40" s="74"/>
      <c r="P40" s="75"/>
      <c r="Q40" s="75"/>
      <c r="R40" s="75"/>
      <c r="S40" s="76"/>
    </row>
    <row r="41" spans="1:19" ht="15.75" thickBot="1" x14ac:dyDescent="0.3">
      <c r="B41" s="62">
        <f>-PMT(B39/12, $B$37*12, (B27+B35), 0)</f>
        <v>772.6700942142138</v>
      </c>
      <c r="C41" s="77"/>
      <c r="D41" s="77"/>
      <c r="E41" s="77"/>
      <c r="F41" s="77"/>
      <c r="G41" s="77"/>
      <c r="H41" s="77"/>
      <c r="I41" s="77"/>
      <c r="J41" s="77"/>
      <c r="K41" s="77"/>
      <c r="L41" s="77"/>
      <c r="M41" s="77"/>
      <c r="N41" s="77"/>
      <c r="O41" s="77"/>
      <c r="P41" s="78"/>
      <c r="Q41" s="78"/>
      <c r="R41" s="78"/>
      <c r="S41" s="79"/>
    </row>
  </sheetData>
  <sheetProtection algorithmName="SHA-512" hashValue="3Y8udL2EtkRMJN5jVm12xA8BhLbTfGhSEncClChAXZnJDy4v+ZGmQBOaIdt9cw9P5K2B+fEmojA8glANeWjXCg==" saltValue="iuEapZuefQl4PLOV9qDiYA==" spinCount="100000" sheet="1" objects="1" scenarios="1"/>
  <mergeCells count="4">
    <mergeCell ref="B1:S2"/>
    <mergeCell ref="B4:N4"/>
    <mergeCell ref="B19:D19"/>
    <mergeCell ref="B25:S25"/>
  </mergeCells>
  <conditionalFormatting sqref="M7:M17 R18:R23">
    <cfRule type="dataBar" priority="2">
      <dataBar>
        <cfvo type="min"/>
        <cfvo type="max"/>
        <color rgb="FF63C384"/>
      </dataBar>
      <extLst>
        <ext xmlns:x14="http://schemas.microsoft.com/office/spreadsheetml/2009/9/main" uri="{B025F937-C7B1-47D3-B67F-A62EFF666E3E}">
          <x14:id>{150D5BA2-F7F6-4583-A5ED-2F4E3A89A9B2}</x14:id>
        </ext>
      </extLst>
    </cfRule>
  </conditionalFormatting>
  <conditionalFormatting sqref="R28:R39">
    <cfRule type="dataBar" priority="3">
      <dataBar>
        <cfvo type="min"/>
        <cfvo type="max"/>
        <color rgb="FF63C384"/>
      </dataBar>
      <extLst>
        <ext xmlns:x14="http://schemas.microsoft.com/office/spreadsheetml/2009/9/main" uri="{B025F937-C7B1-47D3-B67F-A62EFF666E3E}">
          <x14:id>{1C01AF61-8A67-40F4-B6F0-60B9EA82EB72}</x14:id>
        </ext>
      </extLst>
    </cfRule>
  </conditionalFormatting>
  <conditionalFormatting sqref="E27:E39 E6:E17">
    <cfRule type="dataBar" priority="4">
      <dataBar>
        <cfvo type="min"/>
        <cfvo type="max"/>
        <color rgb="FF63C384"/>
      </dataBar>
      <extLst>
        <ext xmlns:x14="http://schemas.microsoft.com/office/spreadsheetml/2009/9/main" uri="{B025F937-C7B1-47D3-B67F-A62EFF666E3E}">
          <x14:id>{2E02E50D-4A98-40FB-8C92-CF68DD756FF3}</x14:id>
        </ext>
      </extLst>
    </cfRule>
  </conditionalFormatting>
  <conditionalFormatting sqref="G27:G39 G6:G17">
    <cfRule type="dataBar" priority="5">
      <dataBar>
        <cfvo type="min"/>
        <cfvo type="max"/>
        <color rgb="FF63C384"/>
      </dataBar>
      <extLst>
        <ext xmlns:x14="http://schemas.microsoft.com/office/spreadsheetml/2009/9/main" uri="{B025F937-C7B1-47D3-B67F-A62EFF666E3E}">
          <x14:id>{E586CA28-E5FF-4AAD-899B-500626937B38}</x14:id>
        </ext>
      </extLst>
    </cfRule>
  </conditionalFormatting>
  <conditionalFormatting sqref="I27:I39 I6:I17">
    <cfRule type="dataBar" priority="6">
      <dataBar>
        <cfvo type="min"/>
        <cfvo type="max"/>
        <color rgb="FF63C384"/>
      </dataBar>
      <extLst>
        <ext xmlns:x14="http://schemas.microsoft.com/office/spreadsheetml/2009/9/main" uri="{B025F937-C7B1-47D3-B67F-A62EFF666E3E}">
          <x14:id>{687272E3-E8E9-4AF3-839F-E228CB239C7D}</x14:id>
        </ext>
      </extLst>
    </cfRule>
  </conditionalFormatting>
  <conditionalFormatting sqref="O27:O39">
    <cfRule type="dataBar" priority="1">
      <dataBar>
        <cfvo type="min"/>
        <cfvo type="max"/>
        <color rgb="FF63C384"/>
      </dataBar>
      <extLst>
        <ext xmlns:x14="http://schemas.microsoft.com/office/spreadsheetml/2009/9/main" uri="{B025F937-C7B1-47D3-B67F-A62EFF666E3E}">
          <x14:id>{9EF57D15-2B28-4E2F-86DB-DEB548939C04}</x14:id>
        </ext>
      </extLst>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150D5BA2-F7F6-4583-A5ED-2F4E3A89A9B2}">
            <x14:dataBar minLength="0" maxLength="100" border="1" negativeBarBorderColorSameAsPositive="0">
              <x14:cfvo type="autoMin"/>
              <x14:cfvo type="autoMax"/>
              <x14:borderColor rgb="FF63C384"/>
              <x14:negativeFillColor rgb="FFFF0000"/>
              <x14:negativeBorderColor rgb="FFFF0000"/>
              <x14:axisColor rgb="FF000000"/>
            </x14:dataBar>
          </x14:cfRule>
          <xm:sqref>M7:M17 R18:R23</xm:sqref>
        </x14:conditionalFormatting>
        <x14:conditionalFormatting xmlns:xm="http://schemas.microsoft.com/office/excel/2006/main">
          <x14:cfRule type="dataBar" id="{1C01AF61-8A67-40F4-B6F0-60B9EA82EB72}">
            <x14:dataBar minLength="0" maxLength="100" border="1" negativeBarBorderColorSameAsPositive="0">
              <x14:cfvo type="autoMin"/>
              <x14:cfvo type="autoMax"/>
              <x14:borderColor rgb="FF63C384"/>
              <x14:negativeFillColor rgb="FFFF0000"/>
              <x14:negativeBorderColor rgb="FFFF0000"/>
              <x14:axisColor rgb="FF000000"/>
            </x14:dataBar>
          </x14:cfRule>
          <xm:sqref>R28:R39</xm:sqref>
        </x14:conditionalFormatting>
        <x14:conditionalFormatting xmlns:xm="http://schemas.microsoft.com/office/excel/2006/main">
          <x14:cfRule type="dataBar" id="{2E02E50D-4A98-40FB-8C92-CF68DD756FF3}">
            <x14:dataBar minLength="0" maxLength="100" border="1" negativeBarBorderColorSameAsPositive="0">
              <x14:cfvo type="autoMin"/>
              <x14:cfvo type="autoMax"/>
              <x14:borderColor rgb="FF63C384"/>
              <x14:negativeFillColor rgb="FFFF0000"/>
              <x14:negativeBorderColor rgb="FFFF0000"/>
              <x14:axisColor rgb="FF000000"/>
            </x14:dataBar>
          </x14:cfRule>
          <xm:sqref>E27:E39 E6:E17</xm:sqref>
        </x14:conditionalFormatting>
        <x14:conditionalFormatting xmlns:xm="http://schemas.microsoft.com/office/excel/2006/main">
          <x14:cfRule type="dataBar" id="{E586CA28-E5FF-4AAD-899B-500626937B38}">
            <x14:dataBar minLength="0" maxLength="100" border="1" negativeBarBorderColorSameAsPositive="0">
              <x14:cfvo type="autoMin"/>
              <x14:cfvo type="autoMax"/>
              <x14:borderColor rgb="FF63C384"/>
              <x14:negativeFillColor rgb="FFFF0000"/>
              <x14:negativeBorderColor rgb="FFFF0000"/>
              <x14:axisColor rgb="FF000000"/>
            </x14:dataBar>
          </x14:cfRule>
          <xm:sqref>G27:G39 G6:G17</xm:sqref>
        </x14:conditionalFormatting>
        <x14:conditionalFormatting xmlns:xm="http://schemas.microsoft.com/office/excel/2006/main">
          <x14:cfRule type="dataBar" id="{687272E3-E8E9-4AF3-839F-E228CB239C7D}">
            <x14:dataBar minLength="0" maxLength="100" border="1" negativeBarBorderColorSameAsPositive="0">
              <x14:cfvo type="autoMin"/>
              <x14:cfvo type="autoMax"/>
              <x14:borderColor rgb="FF63C384"/>
              <x14:negativeFillColor rgb="FFFF0000"/>
              <x14:negativeBorderColor rgb="FFFF0000"/>
              <x14:axisColor rgb="FF000000"/>
            </x14:dataBar>
          </x14:cfRule>
          <xm:sqref>I27:I39 I6:I17</xm:sqref>
        </x14:conditionalFormatting>
        <x14:conditionalFormatting xmlns:xm="http://schemas.microsoft.com/office/excel/2006/main">
          <x14:cfRule type="dataBar" id="{9EF57D15-2B28-4E2F-86DB-DEB548939C04}">
            <x14:dataBar minLength="0" maxLength="100" border="1" negativeBarBorderColorSameAsPositive="0">
              <x14:cfvo type="autoMin"/>
              <x14:cfvo type="autoMax"/>
              <x14:borderColor rgb="FF63C384"/>
              <x14:negativeFillColor rgb="FFFF0000"/>
              <x14:negativeBorderColor rgb="FFFF0000"/>
              <x14:axisColor rgb="FF000000"/>
            </x14:dataBar>
          </x14:cfRule>
          <xm:sqref>O27:O39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Buy Down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Erwin</dc:creator>
  <cp:lastModifiedBy>Brian Williams</cp:lastModifiedBy>
  <dcterms:created xsi:type="dcterms:W3CDTF">2015-12-11T18:33:00Z</dcterms:created>
  <dcterms:modified xsi:type="dcterms:W3CDTF">2017-12-06T02:36:43Z</dcterms:modified>
</cp:coreProperties>
</file>